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ssumptions" sheetId="2" state="visible" r:id="rId4"/>
    <sheet name="Cost Per Compliant Decision" sheetId="3" state="visible" r:id="rId5"/>
    <sheet name="Investment and Benefits" sheetId="4" state="visible" r:id="rId6"/>
    <sheet name="Sensitivity" sheetId="5" state="visible" r:id="rId7"/>
    <sheet name="Board Summary" sheetId="6" state="visible" r:id="rId8"/>
  </sheets>
  <definedNames>
    <definedName function="false" hidden="false" localSheetId="1" name="_xlnm.Print_Titles" vbProcedure="false">Assumptions!$35:$35</definedName>
    <definedName function="false" hidden="false" localSheetId="5" name="_xlnm.Print_Titles" vbProcedure="false">'Board Summary'!$26:$26</definedName>
    <definedName function="false" hidden="false" localSheetId="2" name="_xlnm.Print_Titles" vbProcedure="false">'Cost Per Compliant Decision'!$21:$21</definedName>
    <definedName function="false" hidden="false" localSheetId="3" name="_xlnm.Print_Titles" vbProcedure="false">'Investment and Benefits'!$33:$33</definedName>
    <definedName function="false" hidden="false" localSheetId="4" name="_xlnm.Print_Titles" vbProcedure="false">Sensitivity!$17:$17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<sst xmlns="http://schemas.openxmlformats.org/spreadsheetml/2006/main" count="363" uniqueCount="254">
  <si>
    <t xml:space="preserve">AGENT GOVERNANCE BUSINESS CASE AND COST PER COMPLIANT DECISION MODEL</t>
  </si>
  <si>
    <t xml:space="preserve">Companion instrument 03 of the When Agents Rule toolkit. A five year investment case for agent governance, built to survive a CFO's scrutiny rather than to win an argument.</t>
  </si>
  <si>
    <t xml:space="preserve">WHAT THIS MODEL DOES</t>
  </si>
  <si>
    <t xml:space="preserve">Governance is usually presented as a cost. This model presents it as a unit economics problem, which is the only framing a finance function can act on.</t>
  </si>
  <si>
    <t xml:space="preserve">The central metric is Cost Per Compliant Decision. Take everything you spend to make an autonomous decision defensible, divide it by the number of decisions that clear that bar, and you have a number that can be benchmarked, trended and targeted. It behaves like cost per transaction, which means a CFO already knows what to do with it.</t>
  </si>
  <si>
    <t xml:space="preserve">The model then builds a five year case: what the programme costs, what it avoids, when cumulative net cash turns positive, and what a one year delay costs in present value terms. The sensitivity grid shows which of your assumptions the case actually depends on.</t>
  </si>
  <si>
    <t xml:space="preserve">HOW TO USE IT HONESTLY</t>
  </si>
  <si>
    <t xml:space="preserve">Replace every number</t>
  </si>
  <si>
    <t xml:space="preserve">Every figure shipped in the Assumptions tab is an illustrative placeholder, not a benchmark. A business case built on someone else's numbers will not survive its first finance review. Replace all of them, then delete this reminder.</t>
  </si>
  <si>
    <t xml:space="preserve">Source each input</t>
  </si>
  <si>
    <t xml:space="preserve">The Assumptions tab has a Source column. Fill it in. The question a CFO asks is not whether the model is elegant. It is where the numbers came from.</t>
  </si>
  <si>
    <t xml:space="preserve">Run it pessimistically first</t>
  </si>
  <si>
    <t xml:space="preserve">Set the benefit percentages to the low end of what you would defend under challenge. If the case still clears, you have a case. If it only works at the optimistic end, you have a wish.</t>
  </si>
  <si>
    <t xml:space="preserve">Be explicit about avoided loss</t>
  </si>
  <si>
    <t xml:space="preserve">Risk avoidance benefit is expected value, not cash. Present it separately from hard cost reduction, and expect the CFO to discount it. The model keeps the two categories apart for exactly this reason.</t>
  </si>
  <si>
    <t xml:space="preserve">Show the delay cost</t>
  </si>
  <si>
    <t xml:space="preserve">The Board Summary tab quantifies the present value lost by starting one year later. In practice this is the number that moves a funding decision.</t>
  </si>
  <si>
    <t xml:space="preserve">HOW TO USE THIS WORKBOOK</t>
  </si>
  <si>
    <t xml:space="preserve">Pale yellow cells with blue text</t>
  </si>
  <si>
    <t xml:space="preserve">You fill these in. Every other cell is a formula or reference.</t>
  </si>
  <si>
    <t xml:space="preserve">Grey cells</t>
  </si>
  <si>
    <t xml:space="preserve">Calculated. Do not overwrite; they will recalculate as you enter data.</t>
  </si>
  <si>
    <t xml:space="preserve">Row 'EXAMPLE'</t>
  </si>
  <si>
    <t xml:space="preserve">A sample row showing the expected format. Delete it before you publish.</t>
  </si>
  <si>
    <t xml:space="preserve">Dropdown cells</t>
  </si>
  <si>
    <t xml:space="preserve">Click the cell and choose from the list so the scoring formulas resolve.</t>
  </si>
  <si>
    <t xml:space="preserve">Blue text</t>
  </si>
  <si>
    <t xml:space="preserve">An input you own. Black text is a formula. Do not type over black text.</t>
  </si>
  <si>
    <t xml:space="preserve">HOW THIS RELATES TO THE BOOK</t>
  </si>
  <si>
    <t xml:space="preserve">The reasoning behind Cost Per Compliant Decision, the investment ranges, and the way to present both to a board are set out in When Agents Rule, Chapters 10 and 11. This workbook is the calculation engine those chapters describe. It contains no benchmark data and makes no claim about what your numbers should be.</t>
  </si>
  <si>
    <t xml:space="preserve">Companion toolkit for WHEN AGENTS RULE by Steven Oppenheim. Free for internal use inside your own organization. Not legal, technical, or financial advice. Verify all regulatory dates against primary sources before relying on them.</t>
  </si>
  <si>
    <t xml:space="preserve">ASSUMPTIONS</t>
  </si>
  <si>
    <t xml:space="preserve">Every input in the model lives here. All values shipped are illustrative placeholders. Replace them and record your source.</t>
  </si>
  <si>
    <t xml:space="preserve">PORTFOLIO SCALE</t>
  </si>
  <si>
    <t xml:space="preserve">Assumption</t>
  </si>
  <si>
    <t xml:space="preserve">Value</t>
  </si>
  <si>
    <t xml:space="preserve">Unit</t>
  </si>
  <si>
    <t xml:space="preserve">Definition and how to derive it</t>
  </si>
  <si>
    <t xml:space="preserve">Your source</t>
  </si>
  <si>
    <t xml:space="preserve">Autonomous decisions per year</t>
  </si>
  <si>
    <t xml:space="preserve">count</t>
  </si>
  <si>
    <t xml:space="preserve">Decisions or actions taken by AI systems without a human in the loop for each one. Pull from agent telemetry; if you cannot measure it, that gap is itself a finding.</t>
  </si>
  <si>
    <t xml:space="preserve">Share of decisions in governance scope</t>
  </si>
  <si>
    <t xml:space="preserve">%</t>
  </si>
  <si>
    <t xml:space="preserve">The share that carries regulatory, financial or safety consequence and therefore has to be defensible.</t>
  </si>
  <si>
    <t xml:space="preserve">Annual growth in decision volume</t>
  </si>
  <si>
    <t xml:space="preserve">Your own forecast for agent decision volume. This is what makes the do nothing case get worse rather than stay flat.</t>
  </si>
  <si>
    <t xml:space="preserve">AI systems in production</t>
  </si>
  <si>
    <t xml:space="preserve">Take this from the Agent Inventory workbook, instrument 01.</t>
  </si>
  <si>
    <t xml:space="preserve">Share at L3 autonomy or above</t>
  </si>
  <si>
    <t xml:space="preserve">The population where oversight must be designed into the system. Also from instrument 01.</t>
  </si>
  <si>
    <t xml:space="preserve">CURRENT ANNUAL COST OF GOVERNANCE</t>
  </si>
  <si>
    <t xml:space="preserve">Manual review and oversight labour</t>
  </si>
  <si>
    <t xml:space="preserve">per year</t>
  </si>
  <si>
    <t xml:space="preserve">Fully loaded cost of the people who review, approve and check agent output today. Include business reviewers, not only the technology function.</t>
  </si>
  <si>
    <t xml:space="preserve">Existing tooling and platform cost</t>
  </si>
  <si>
    <t xml:space="preserve">Licences and infrastructure already spent on monitoring, logging and policy enforcement for AI systems.</t>
  </si>
  <si>
    <t xml:space="preserve">Compliance and audit preparation</t>
  </si>
  <si>
    <t xml:space="preserve">Effort spent assembling evidence for internal audit, external audit and regulators, including external advisers.</t>
  </si>
  <si>
    <t xml:space="preserve">Rework and remediation of agent errors</t>
  </si>
  <si>
    <t xml:space="preserve">Cost of correcting bad agent output: reversals, credits, manual reprocessing, customer remediation.</t>
  </si>
  <si>
    <t xml:space="preserve">LOSS EXPOSURE</t>
  </si>
  <si>
    <t xml:space="preserve">Agent caused incidents per year</t>
  </si>
  <si>
    <t xml:space="preserve">Operational incidents attributable to AI system behaviour. Use your incident management data, not an estimate.</t>
  </si>
  <si>
    <t xml:space="preserve">Average cost per incident</t>
  </si>
  <si>
    <t xml:space="preserve">each</t>
  </si>
  <si>
    <t xml:space="preserve">Direct and indirect cost per incident. Your incident post mortems should already carry this figure.</t>
  </si>
  <si>
    <t xml:space="preserve">Annual probability of a major reportable event</t>
  </si>
  <si>
    <t xml:space="preserve">Probability of a regulatory, legal or public event material enough to reach the board. A judgement, so document who made it and on what basis.</t>
  </si>
  <si>
    <t xml:space="preserve">Loss if a major event occurs</t>
  </si>
  <si>
    <t xml:space="preserve">Penalties, legal cost, remediation and response. Scale to your revenue and regulatory regime rather than using a headline maximum fine.</t>
  </si>
  <si>
    <t xml:space="preserve">BENEFIT DRIVERS AT STEADY STATE</t>
  </si>
  <si>
    <t xml:space="preserve">Reduction in manual review labour</t>
  </si>
  <si>
    <t xml:space="preserve">Achieved by replacing per decision human review with designed oversight, sampling and exception handling.</t>
  </si>
  <si>
    <t xml:space="preserve">Reduction in rework and remediation</t>
  </si>
  <si>
    <t xml:space="preserve">Achieved by decision boundaries, tested revocation and observability that catches drift before it compounds.</t>
  </si>
  <si>
    <t xml:space="preserve">Reduction in compliance preparation effort</t>
  </si>
  <si>
    <t xml:space="preserve">Achieved when evidence is produced automatically by the governance platform rather than assembled on request.</t>
  </si>
  <si>
    <t xml:space="preserve">Reduction in incident frequency</t>
  </si>
  <si>
    <t xml:space="preserve">The driver the case is most sensitive to. Defend this number harder than any other.</t>
  </si>
  <si>
    <t xml:space="preserve">Reduction in major event probability</t>
  </si>
  <si>
    <t xml:space="preserve">Expected value, not cash. Present it separately and expect the CFO to discount it.</t>
  </si>
  <si>
    <t xml:space="preserve">FINANCIAL PARAMETERS</t>
  </si>
  <si>
    <t xml:space="preserve">Discount rate</t>
  </si>
  <si>
    <t xml:space="preserve">Use your corporate hurdle rate. Ask finance rather than choosing one.</t>
  </si>
  <si>
    <t xml:space="preserve">Sustainment cost as share of year three spend</t>
  </si>
  <si>
    <t xml:space="preserve">Annual run cost to keep the governance capability alive after the build years. Applies in years four and five.</t>
  </si>
  <si>
    <t xml:space="preserve">Appraisal horizon</t>
  </si>
  <si>
    <t xml:space="preserve">years</t>
  </si>
  <si>
    <t xml:space="preserve">Fixed at five years in this model. Shorter horizons understate governance benefit; longer ones overstate certainty.</t>
  </si>
  <si>
    <t xml:space="preserve">A note on the risk avoidance line. Multiplying a probability by a loss gives an expected value, which is the right way to compare options but the wrong way to describe cash. The Investment and Benefits tab keeps hard cost reduction and expected loss avoidance in separate blocks, and the Board Summary reports the case both with and without the risk avoidance benefit. Present both. A case that only works with avoided loss included is a case a CFO will reject, and should.</t>
  </si>
  <si>
    <t xml:space="preserve">COST PER COMPLIANT DECISION</t>
  </si>
  <si>
    <t xml:space="preserve">The unit metric. Everything spent making autonomous decisions defensible, divided by the number of decisions that clear the bar. Baseline first, then the trajectory under the programme.</t>
  </si>
  <si>
    <t xml:space="preserve">DECISION VOLUME IN SCOPE</t>
  </si>
  <si>
    <t xml:space="preserve">Line</t>
  </si>
  <si>
    <t xml:space="preserve">Baseline</t>
  </si>
  <si>
    <t xml:space="preserve">Year 1</t>
  </si>
  <si>
    <t xml:space="preserve">Year 2</t>
  </si>
  <si>
    <t xml:space="preserve">Year 3</t>
  </si>
  <si>
    <t xml:space="preserve">Year 4</t>
  </si>
  <si>
    <t xml:space="preserve">Year 5</t>
  </si>
  <si>
    <t xml:space="preserve">Definition</t>
  </si>
  <si>
    <t xml:space="preserve">Total autonomous decisions</t>
  </si>
  <si>
    <t xml:space="preserve">Grows at the volume growth assumption. The do nothing case has to absorb this growth.</t>
  </si>
  <si>
    <t xml:space="preserve">Decisions in governance scope</t>
  </si>
  <si>
    <t xml:space="preserve">The denominator of Cost Per Compliant Decision.</t>
  </si>
  <si>
    <t xml:space="preserve">DO NOTHING CASE: COST TRAJECTORY WITH NO GOVERNANCE INVESTMENT</t>
  </si>
  <si>
    <t xml:space="preserve">Cost line</t>
  </si>
  <si>
    <t xml:space="preserve">Scaling behaviour</t>
  </si>
  <si>
    <t xml:space="preserve">Scales with volume. Human review is the cost line that does not get cheaper as agents multiply.</t>
  </si>
  <si>
    <t xml:space="preserve">Existing tooling and platform</t>
  </si>
  <si>
    <t xml:space="preserve">Broadly fixed.</t>
  </si>
  <si>
    <t xml:space="preserve">Scales with volume as evidence requests grow.</t>
  </si>
  <si>
    <t xml:space="preserve">Rework and remediation of errors</t>
  </si>
  <si>
    <t xml:space="preserve">Scales with volume. More decisions, more bad ones.</t>
  </si>
  <si>
    <t xml:space="preserve">Expected incident cost</t>
  </si>
  <si>
    <t xml:space="preserve">Incident count times average cost, scaling with volume.</t>
  </si>
  <si>
    <t xml:space="preserve">Expected major event cost</t>
  </si>
  <si>
    <t xml:space="preserve">Probability times loss. Held flat in the do nothing case.</t>
  </si>
  <si>
    <t xml:space="preserve">Total do nothing cost</t>
  </si>
  <si>
    <t xml:space="preserve">The counterfactual. This is what governance is being compared against.</t>
  </si>
  <si>
    <t xml:space="preserve">Cost Per Compliant Decision, do nothing</t>
  </si>
  <si>
    <t xml:space="preserve">Unit cost falls slightly as fixed costs spread, then stalls. Scale alone does not make ungoverned decisions cheaper to defend.</t>
  </si>
  <si>
    <t xml:space="preserve">GOVERNED CASE: COST TRAJECTORY UNDER THE PROGRAMME</t>
  </si>
  <si>
    <t xml:space="preserve">Note</t>
  </si>
  <si>
    <t xml:space="preserve">Do nothing cost reduced by its benefit driver, phased by the realisation curve.</t>
  </si>
  <si>
    <t xml:space="preserve">Programme cost in year</t>
  </si>
  <si>
    <t xml:space="preserve">From the Investment and Benefits tab.</t>
  </si>
  <si>
    <t xml:space="preserve">Total governed cost</t>
  </si>
  <si>
    <t xml:space="preserve">Cost Per Compliant Decision, governed</t>
  </si>
  <si>
    <t xml:space="preserve">Improvement in unit cost</t>
  </si>
  <si>
    <t xml:space="preserve">The single number to trend quarterly in the board AI report.</t>
  </si>
  <si>
    <t xml:space="preserve">Read the two unit cost lines together. The do nothing line includes the programme cost of zero and the full weight of manual review, rework and expected loss. The governed line carries the programme cost but a shrinking share of everything else. In year one the governed unit cost is usually worse. That is not a modelling error, it is what an investment looks like, and saying so in advance is what makes the year one number survivable.</t>
  </si>
  <si>
    <t xml:space="preserve">INVESTMENT, BENEFITS AND NET CASH</t>
  </si>
  <si>
    <t xml:space="preserve">Five year appraisal. Years one to three are build years; years four and five carry sustainment cost only. Benefits phase in on the realisation curve.</t>
  </si>
  <si>
    <t xml:space="preserve">REALISATION CURVE AND DISCOUNTING</t>
  </si>
  <si>
    <t xml:space="preserve">Share of steady state benefit realised</t>
  </si>
  <si>
    <t xml:space="preserve">Adjust to your own delivery confidence. Front loading this is the commonest way a governance case is overstated.</t>
  </si>
  <si>
    <t xml:space="preserve">Discount factor</t>
  </si>
  <si>
    <t xml:space="preserve">At the corporate hurdle rate from the Assumptions tab.</t>
  </si>
  <si>
    <t xml:space="preserve">PROGRAMME INVESTMENT BY WORKSTREAM</t>
  </si>
  <si>
    <t xml:space="preserve">Workstream</t>
  </si>
  <si>
    <t xml:space="preserve">What it buys</t>
  </si>
  <si>
    <t xml:space="preserve">Discovery, inventory and classification</t>
  </si>
  <si>
    <t xml:space="preserve">Finding the agents, including the ones nobody authorised, and keeping the register current.</t>
  </si>
  <si>
    <t xml:space="preserve">Governance platform and observability</t>
  </si>
  <si>
    <t xml:space="preserve">Decision logging, policy enforcement, drift detection, evidence generation.</t>
  </si>
  <si>
    <t xml:space="preserve">Identity, least privilege and revocation</t>
  </si>
  <si>
    <t xml:space="preserve">Per agent identity, scoped credentials, tested kill switch.</t>
  </si>
  <si>
    <t xml:space="preserve">Policy, assurance and regulatory documentation</t>
  </si>
  <si>
    <t xml:space="preserve">Classification against regulation, technical documentation, audit evidence packs.</t>
  </si>
  <si>
    <t xml:space="preserve">Programme management and organisational change</t>
  </si>
  <si>
    <t xml:space="preserve">The workstream that is always cut and always the reason delivery slips.</t>
  </si>
  <si>
    <t xml:space="preserve">Total programme investment</t>
  </si>
  <si>
    <t xml:space="preserve">Cumulative investment</t>
  </si>
  <si>
    <t xml:space="preserve">BENEFIT BLOCK A: HARD COST REDUCTION</t>
  </si>
  <si>
    <t xml:space="preserve">Benefit line</t>
  </si>
  <si>
    <t xml:space="preserve">Steady state value</t>
  </si>
  <si>
    <t xml:space="preserve">Nature</t>
  </si>
  <si>
    <t xml:space="preserve">Manual review and oversight labour avoided</t>
  </si>
  <si>
    <t xml:space="preserve">Cash. Redeployable or removable headcount and contractor spend.</t>
  </si>
  <si>
    <t xml:space="preserve">Rework and remediation avoided</t>
  </si>
  <si>
    <t xml:space="preserve">Cash. Fewer reversals, credits and manual reprocessing.</t>
  </si>
  <si>
    <t xml:space="preserve">Compliance preparation effort avoided</t>
  </si>
  <si>
    <t xml:space="preserve">Cash. Mostly internal effort and external adviser fees.</t>
  </si>
  <si>
    <t xml:space="preserve">Total hard cost reduction</t>
  </si>
  <si>
    <t xml:space="preserve">BENEFIT BLOCK B: EXPECTED LOSS AVOIDED (NOT CASH)</t>
  </si>
  <si>
    <t xml:space="preserve">Incident cost avoided</t>
  </si>
  <si>
    <t xml:space="preserve">Expected value. Defensible if your incident data is real.</t>
  </si>
  <si>
    <t xml:space="preserve">Major reportable event exposure avoided</t>
  </si>
  <si>
    <t xml:space="preserve">Expected value on a judgement probability. Expect this line to be discounted or removed.</t>
  </si>
  <si>
    <t xml:space="preserve">Total expected loss avoided</t>
  </si>
  <si>
    <t xml:space="preserve">NET CASH AND PRESENT VALUE</t>
  </si>
  <si>
    <t xml:space="preserve">Five year total</t>
  </si>
  <si>
    <t xml:space="preserve">Total benefit, hard plus expected</t>
  </si>
  <si>
    <t xml:space="preserve">Both blocks combined.</t>
  </si>
  <si>
    <t xml:space="preserve">Net cash flow, hard benefit only</t>
  </si>
  <si>
    <t xml:space="preserve">The conservative view. If this clears, the case is safe.</t>
  </si>
  <si>
    <t xml:space="preserve">Net cash flow, all benefits</t>
  </si>
  <si>
    <t xml:space="preserve">The full view including expected loss avoided.</t>
  </si>
  <si>
    <t xml:space="preserve">Cumulative net cash flow, all benefits</t>
  </si>
  <si>
    <t xml:space="preserve">Discounted net cash flow, all benefits</t>
  </si>
  <si>
    <t xml:space="preserve">Discounted net cash flow, hard benefit only</t>
  </si>
  <si>
    <t xml:space="preserve">SENSITIVITY</t>
  </si>
  <si>
    <t xml:space="preserve">Which assumption does the case actually depend on? Each cell recalculates the five year discounted net cash flow with two drivers varied at once.</t>
  </si>
  <si>
    <t xml:space="preserve">FIVE YEAR DISCOUNTED NET CASH FLOW, ALL BENEFITS</t>
  </si>
  <si>
    <t xml:space="preserve">Rows vary the reduction in incident frequency, which is the benefit driver the case is most sensitive to. Columns vary the programme cost against plan. Every other assumption is held at the value on the Assumptions tab.</t>
  </si>
  <si>
    <t xml:space="preserve">Incident reduction \ Programme cost</t>
  </si>
  <si>
    <t xml:space="preserve">Read the red cells first. They are the combinations in which this programme destroys value. If red appears anywhere inside the range of outcomes you would call plausible, the honest presentation is a smaller first phase with a gate, not a larger business case.</t>
  </si>
  <si>
    <t xml:space="preserve">SINGLE DRIVER SENSITIVITY</t>
  </si>
  <si>
    <t xml:space="preserve">Driver moved</t>
  </si>
  <si>
    <t xml:space="preserve">Down 50%</t>
  </si>
  <si>
    <t xml:space="preserve">Down 25%</t>
  </si>
  <si>
    <t xml:space="preserve">As planned</t>
  </si>
  <si>
    <t xml:space="preserve">Up 25%</t>
  </si>
  <si>
    <t xml:space="preserve">Up 50%</t>
  </si>
  <si>
    <t xml:space="preserve">Manual review labour reduction</t>
  </si>
  <si>
    <t xml:space="preserve">Rework reduction</t>
  </si>
  <si>
    <t xml:space="preserve">Compliance effort reduction</t>
  </si>
  <si>
    <t xml:space="preserve">Incident frequency reduction</t>
  </si>
  <si>
    <t xml:space="preserve">Major event probability reduction</t>
  </si>
  <si>
    <t xml:space="preserve">Swing from down 50% to up 50%</t>
  </si>
  <si>
    <t xml:space="preserve">The driver with the widest swing between the first and last column is the one to spend your evidence gathering effort on before the funding meeting.</t>
  </si>
  <si>
    <t xml:space="preserve">BOARD SUMMARY</t>
  </si>
  <si>
    <t xml:space="preserve">One page. Everything calculated. Nothing to fill in. Print this, not the model.</t>
  </si>
  <si>
    <t xml:space="preserve">THE CASE IN SEVEN NUMBERS</t>
  </si>
  <si>
    <t xml:space="preserve">Measure</t>
  </si>
  <si>
    <t xml:space="preserve">How to say it in the room</t>
  </si>
  <si>
    <t xml:space="preserve">Total programme investment over five years</t>
  </si>
  <si>
    <t xml:space="preserve">The ask. Three build years and two sustainment years.</t>
  </si>
  <si>
    <t xml:space="preserve">Five year hard cost reduction</t>
  </si>
  <si>
    <t xml:space="preserve">Cash we stop spending. This is the number finance will test.</t>
  </si>
  <si>
    <t xml:space="preserve">Five year expected loss avoided</t>
  </si>
  <si>
    <t xml:space="preserve">Risk adjusted, not cash. Present separately and expect it to be discounted.</t>
  </si>
  <si>
    <t xml:space="preserve">Five year discounted net cash flow, hard benefit only</t>
  </si>
  <si>
    <t xml:space="preserve">The conservative case. If this is positive the programme stands on cost reduction alone.</t>
  </si>
  <si>
    <t xml:space="preserve">Five year discounted net cash flow, all benefits</t>
  </si>
  <si>
    <t xml:space="preserve">The full case.</t>
  </si>
  <si>
    <t xml:space="preserve">Return on investment, all benefits</t>
  </si>
  <si>
    <t xml:space="preserve">Undiscounted, five year. Quote alongside the discounted figure, never instead of it.</t>
  </si>
  <si>
    <t xml:space="preserve">First year cumulative net cash turns positive</t>
  </si>
  <si>
    <t xml:space="preserve">Payback year. Beyond year five means the case needs a smaller first phase.</t>
  </si>
  <si>
    <t xml:space="preserve">THE TEST FINANCE WILL APPLY</t>
  </si>
  <si>
    <t xml:space="preserve">Question</t>
  </si>
  <si>
    <t xml:space="preserve">Answer</t>
  </si>
  <si>
    <t xml:space="preserve">Why it decides the meeting</t>
  </si>
  <si>
    <t xml:space="preserve">Does the case stand on hard cost reduction alone?</t>
  </si>
  <si>
    <t xml:space="preserve">The question finance will reach within ten minutes. Answer it before they ask.</t>
  </si>
  <si>
    <t xml:space="preserve">Share of total benefit that is expected loss, not cash</t>
  </si>
  <si>
    <t xml:space="preserve">Above roughly half, a finance function will treat this as a risk paper rather than an investment case. Reframe it that way yourself and take it to the risk committee as well as the investment committee.</t>
  </si>
  <si>
    <t xml:space="preserve">UNIT ECONOMICS</t>
  </si>
  <si>
    <t xml:space="preserve">Interpretation</t>
  </si>
  <si>
    <t xml:space="preserve">Unit cost without the programme.</t>
  </si>
  <si>
    <t xml:space="preserve">Unit cost with the programme.</t>
  </si>
  <si>
    <t xml:space="preserve">Unit cost improvement</t>
  </si>
  <si>
    <t xml:space="preserve">The metric to trend in the quarterly board AI report.</t>
  </si>
  <si>
    <t xml:space="preserve">THE COST OF WAITING ONE YEAR</t>
  </si>
  <si>
    <t xml:space="preserve">Benefit forgone by delaying twelve months</t>
  </si>
  <si>
    <t xml:space="preserve">Year one benefit never earned. It does not shift right, it disappears.</t>
  </si>
  <si>
    <t xml:space="preserve">Additional do nothing cost absorbed in the delay year</t>
  </si>
  <si>
    <t xml:space="preserve">Volume growth alone raises the unmanaged cost base.</t>
  </si>
  <si>
    <t xml:space="preserve">Total present value cost of a one year delay</t>
  </si>
  <si>
    <t xml:space="preserve">The number that usually decides the funding question.</t>
  </si>
  <si>
    <t xml:space="preserve">WHAT TO EXPECT TO BE ASKED</t>
  </si>
  <si>
    <t xml:space="preserve">Where did the benefit percentages come from?</t>
  </si>
  <si>
    <t xml:space="preserve">Have a named source per line. Internal time studies and incident data beat any external benchmark.</t>
  </si>
  <si>
    <t xml:space="preserve">What happens if we do half of this?</t>
  </si>
  <si>
    <t xml:space="preserve">Run the sensitivity grid at 50% programme cost. If the case still clears, propose the phased version yourself rather than having it imposed.</t>
  </si>
  <si>
    <t xml:space="preserve">Is the risk avoidance number real money?</t>
  </si>
  <si>
    <t xml:space="preserve">No. It is expected value. Say so before you are asked, and show the case standing on hard cost reduction alone.</t>
  </si>
  <si>
    <t xml:space="preserve">Why not wait for the regulation to settle?</t>
  </si>
  <si>
    <t xml:space="preserve">Point at the delay cost line, then at the migration and classification lead times. The work takes longer than the notice period regulators give.</t>
  </si>
  <si>
    <t xml:space="preserve">How will we know it is working?</t>
  </si>
  <si>
    <t xml:space="preserve">Cost Per Compliant Decision, control gap count from instrument 01, and human oversight compliance rate. Three numbers, quarterly, same format every time.</t>
  </si>
</sst>
</file>

<file path=xl/styles.xml><?xml version="1.0" encoding="utf-8"?>
<styleSheet xmlns="http://schemas.openxmlformats.org/spreadsheetml/2006/main">
  <numFmts count="8">
    <numFmt numFmtId="164" formatCode="General"/>
    <numFmt numFmtId="165" formatCode="#,##0"/>
    <numFmt numFmtId="166" formatCode="0.0%"/>
    <numFmt numFmtId="167" formatCode="\$#,##0;&quot;($&quot;#,##0\);\-"/>
    <numFmt numFmtId="168" formatCode="0"/>
    <numFmt numFmtId="169" formatCode="\$#,##0.0000;&quot;($&quot;#,##0.0000\);\-"/>
    <numFmt numFmtId="170" formatCode="0.000"/>
    <numFmt numFmtId="171" formatCode="0%&quot; of plan&quot;"/>
  </numFmts>
  <fonts count="20">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i val="true"/>
      <sz val="9.5"/>
      <color rgb="FF1A2A3A"/>
      <name val="Arial"/>
      <family val="0"/>
      <charset val="1"/>
    </font>
    <font>
      <b val="true"/>
      <sz val="10.5"/>
      <color rgb="FF1A2A3A"/>
      <name val="Arial"/>
      <family val="0"/>
      <charset val="1"/>
    </font>
    <font>
      <sz val="10"/>
      <name val="Arial"/>
      <family val="0"/>
      <charset val="1"/>
    </font>
    <font>
      <b val="true"/>
      <sz val="10"/>
      <color rgb="FF000000"/>
      <name val="Arial"/>
      <family val="0"/>
      <charset val="1"/>
    </font>
    <font>
      <sz val="9.5"/>
      <color rgb="FF000000"/>
      <name val="Arial"/>
      <family val="0"/>
      <charset val="1"/>
    </font>
    <font>
      <b val="true"/>
      <sz val="9"/>
      <color rgb="FF000000"/>
      <name val="Arial"/>
      <family val="0"/>
      <charset val="1"/>
    </font>
    <font>
      <sz val="9"/>
      <color rgb="FF000000"/>
      <name val="Arial"/>
      <family val="0"/>
      <charset val="1"/>
    </font>
    <font>
      <i val="true"/>
      <sz val="9.5"/>
      <name val="Arial"/>
      <family val="0"/>
      <charset val="1"/>
    </font>
    <font>
      <i val="true"/>
      <sz val="8"/>
      <color rgb="FF475569"/>
      <name val="Arial"/>
      <family val="0"/>
      <charset val="1"/>
    </font>
    <font>
      <b val="true"/>
      <sz val="9"/>
      <color rgb="FFFFFFFF"/>
      <name val="Arial"/>
      <family val="0"/>
      <charset val="1"/>
    </font>
    <font>
      <b val="true"/>
      <sz val="9.5"/>
      <color rgb="FF000000"/>
      <name val="Arial"/>
      <family val="0"/>
      <charset val="1"/>
    </font>
    <font>
      <sz val="9.5"/>
      <color rgb="FF0000FF"/>
      <name val="Arial"/>
      <family val="0"/>
      <charset val="1"/>
    </font>
    <font>
      <i val="true"/>
      <sz val="8.5"/>
      <color rgb="FF555555"/>
      <name val="Arial"/>
      <family val="0"/>
      <charset val="1"/>
    </font>
    <font>
      <sz val="8.5"/>
      <color rgb="FF000000"/>
      <name val="Arial"/>
      <family val="0"/>
      <charset val="1"/>
    </font>
    <font>
      <b val="true"/>
      <sz val="9.5"/>
      <color rgb="FF0000FF"/>
      <name val="Arial"/>
      <family val="0"/>
      <charset val="1"/>
    </font>
  </fonts>
  <fills count="14">
    <fill>
      <patternFill patternType="none"/>
    </fill>
    <fill>
      <patternFill patternType="gray125"/>
    </fill>
    <fill>
      <patternFill patternType="solid">
        <fgColor rgb="FFD97706"/>
        <bgColor rgb="FFC9A227"/>
      </patternFill>
    </fill>
    <fill>
      <patternFill patternType="solid">
        <fgColor rgb="FFF5F7FA"/>
        <bgColor rgb="FFEEF2F7"/>
      </patternFill>
    </fill>
    <fill>
      <patternFill patternType="solid">
        <fgColor rgb="FFF7EFD3"/>
        <bgColor rgb="FFFFF9DB"/>
      </patternFill>
    </fill>
    <fill>
      <patternFill patternType="solid">
        <fgColor rgb="FFC9A227"/>
        <bgColor rgb="FFD97706"/>
      </patternFill>
    </fill>
    <fill>
      <patternFill patternType="solid">
        <fgColor rgb="FF1A2A3A"/>
        <bgColor rgb="FF003366"/>
      </patternFill>
    </fill>
    <fill>
      <patternFill patternType="solid">
        <fgColor rgb="FFFFF9DB"/>
        <bgColor rgb="FFF7EFD3"/>
      </patternFill>
    </fill>
    <fill>
      <patternFill patternType="solid">
        <fgColor rgb="FFB91C1C"/>
        <bgColor rgb="FF922B21"/>
      </patternFill>
    </fill>
    <fill>
      <patternFill patternType="solid">
        <fgColor rgb="FF059669"/>
        <bgColor rgb="FF008080"/>
      </patternFill>
    </fill>
    <fill>
      <patternFill patternType="solid">
        <fgColor rgb="FFEEF2F7"/>
        <bgColor rgb="FFF5F7FA"/>
      </patternFill>
    </fill>
    <fill>
      <patternFill patternType="solid">
        <fgColor rgb="FFFADBD8"/>
        <bgColor rgb="FFF7EFD3"/>
      </patternFill>
    </fill>
    <fill>
      <patternFill patternType="solid">
        <fgColor rgb="FFDCF0E4"/>
        <bgColor rgb="FFEEF2F7"/>
      </patternFill>
    </fill>
    <fill>
      <patternFill patternType="solid">
        <fgColor rgb="FF475569"/>
        <bgColor rgb="FF555555"/>
      </patternFill>
    </fill>
  </fills>
  <borders count="4">
    <border diagonalUp="false" diagonalDown="false">
      <left/>
      <right/>
      <top/>
      <bottom/>
      <diagonal/>
    </border>
    <border diagonalUp="false" diagonalDown="false">
      <left style="thin">
        <color rgb="FFC8CDD4"/>
      </left>
      <right style="thin">
        <color rgb="FFC8CDD4"/>
      </right>
      <top style="thin">
        <color rgb="FFC8CDD4"/>
      </top>
      <bottom style="thin">
        <color rgb="FFC8CDD4"/>
      </bottom>
      <diagonal/>
    </border>
    <border diagonalUp="false" diagonalDown="false">
      <left style="thin">
        <color rgb="FFC8CDD4"/>
      </left>
      <right/>
      <top style="thin">
        <color rgb="FFC8CDD4"/>
      </top>
      <bottom style="thin">
        <color rgb="FFC8CDD4"/>
      </bottom>
      <diagonal/>
    </border>
    <border diagonalUp="false" diagonalDown="false">
      <left style="thin">
        <color rgb="FFC8CDD4"/>
      </left>
      <right style="thin">
        <color rgb="FFC8CDD4"/>
      </right>
      <top style="thin">
        <color rgb="FFC8CDD4"/>
      </top>
      <bottom style="medium">
        <color rgb="FF1A2A3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true" applyAlignment="true" applyProtection="true">
      <alignment horizontal="left" vertical="center" textRotation="0" wrapText="false" indent="1" shrinkToFit="false"/>
      <protection locked="true" hidden="false"/>
    </xf>
    <xf numFmtId="164" fontId="5" fillId="3" borderId="0" xfId="0" applyFont="true" applyBorder="true" applyAlignment="true" applyProtection="true">
      <alignment horizontal="left" vertical="center" textRotation="0" wrapText="true" indent="1" shrinkToFit="false"/>
      <protection locked="true" hidden="false"/>
    </xf>
    <xf numFmtId="164" fontId="6" fillId="4" borderId="0" xfId="0" applyFont="true" applyBorder="true" applyAlignment="true" applyProtection="true">
      <alignment horizontal="left" vertical="center" textRotation="0" wrapText="false" indent="1" shrinkToFit="false"/>
      <protection locked="true" hidden="false"/>
    </xf>
    <xf numFmtId="164" fontId="7" fillId="0" borderId="0" xfId="0" applyFont="true" applyBorder="true" applyAlignment="true" applyProtection="true">
      <alignment horizontal="general" vertical="top" textRotation="0" wrapText="true" indent="1" shrinkToFit="false"/>
      <protection locked="true" hidden="false"/>
    </xf>
    <xf numFmtId="164" fontId="8" fillId="0" borderId="1" xfId="0" applyFont="true" applyBorder="true" applyAlignment="true" applyProtection="true">
      <alignment horizontal="left" vertical="top" textRotation="0" wrapText="true" indent="0" shrinkToFit="false"/>
      <protection locked="true" hidden="false"/>
    </xf>
    <xf numFmtId="164" fontId="9" fillId="0" borderId="2" xfId="0" applyFont="true" applyBorder="true" applyAlignment="true" applyProtection="true">
      <alignment horizontal="left" vertical="top"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true" hidden="false"/>
    </xf>
    <xf numFmtId="164" fontId="11" fillId="0" borderId="2" xfId="0" applyFont="true" applyBorder="true" applyAlignment="true" applyProtection="true">
      <alignment horizontal="left" vertical="top" textRotation="0" wrapText="true" indent="0" shrinkToFit="false"/>
      <protection locked="true" hidden="false"/>
    </xf>
    <xf numFmtId="164" fontId="12" fillId="0" borderId="0" xfId="0" applyFont="true" applyBorder="true" applyAlignment="true" applyProtection="true">
      <alignment horizontal="general" vertical="top" textRotation="0" wrapText="true" indent="1" shrinkToFit="false"/>
      <protection locked="true" hidden="false"/>
    </xf>
    <xf numFmtId="164" fontId="13" fillId="3" borderId="0" xfId="0" applyFont="true" applyBorder="true" applyAlignment="true" applyProtection="true">
      <alignment horizontal="left" vertical="top" textRotation="0" wrapText="true" indent="1" shrinkToFit="false"/>
      <protection locked="true" hidden="false"/>
    </xf>
    <xf numFmtId="164" fontId="4" fillId="5" borderId="0" xfId="0" applyFont="true" applyBorder="true" applyAlignment="true" applyProtection="true">
      <alignment horizontal="left" vertical="center" textRotation="0" wrapText="false" indent="1" shrinkToFit="false"/>
      <protection locked="true" hidden="false"/>
    </xf>
    <xf numFmtId="164" fontId="14" fillId="6" borderId="3" xfId="0" applyFont="true" applyBorder="true" applyAlignment="true" applyProtection="true">
      <alignment horizontal="center" vertical="center" textRotation="0" wrapText="true" indent="0" shrinkToFit="false"/>
      <protection locked="true" hidden="false"/>
    </xf>
    <xf numFmtId="164" fontId="15" fillId="0" borderId="1" xfId="0" applyFont="true" applyBorder="true" applyAlignment="true" applyProtection="true">
      <alignment horizontal="left" vertical="top" textRotation="0" wrapText="true" indent="0" shrinkToFit="false"/>
      <protection locked="true" hidden="false"/>
    </xf>
    <xf numFmtId="165" fontId="16" fillId="7" borderId="1" xfId="0" applyFont="true" applyBorder="true" applyAlignment="true" applyProtection="true">
      <alignment horizontal="center" vertical="top" textRotation="0" wrapText="true" indent="0" shrinkToFit="false"/>
      <protection locked="true" hidden="false"/>
    </xf>
    <xf numFmtId="164" fontId="9" fillId="0" borderId="1" xfId="0" applyFont="true" applyBorder="true" applyAlignment="true" applyProtection="true">
      <alignment horizontal="center" vertical="top" textRotation="0" wrapText="true" indent="0" shrinkToFit="false"/>
      <protection locked="true" hidden="false"/>
    </xf>
    <xf numFmtId="164" fontId="11" fillId="0" borderId="1" xfId="0" applyFont="true" applyBorder="true" applyAlignment="true" applyProtection="true">
      <alignment horizontal="left" vertical="top" textRotation="0" wrapText="true" indent="0" shrinkToFit="false"/>
      <protection locked="true" hidden="false"/>
    </xf>
    <xf numFmtId="164" fontId="16" fillId="7" borderId="1" xfId="0" applyFont="true" applyBorder="true" applyAlignment="true" applyProtection="true">
      <alignment horizontal="left" vertical="top" textRotation="0" wrapText="true" indent="0" shrinkToFit="false"/>
      <protection locked="true" hidden="false"/>
    </xf>
    <xf numFmtId="166" fontId="16" fillId="7" borderId="1" xfId="0" applyFont="true" applyBorder="true" applyAlignment="true" applyProtection="true">
      <alignment horizontal="center" vertical="top" textRotation="0" wrapText="true" indent="0" shrinkToFit="false"/>
      <protection locked="true" hidden="false"/>
    </xf>
    <xf numFmtId="167" fontId="16" fillId="7" borderId="1" xfId="0" applyFont="true" applyBorder="true" applyAlignment="true" applyProtection="true">
      <alignment horizontal="center" vertical="top" textRotation="0" wrapText="true" indent="0" shrinkToFit="false"/>
      <protection locked="true" hidden="false"/>
    </xf>
    <xf numFmtId="164" fontId="14" fillId="8" borderId="3" xfId="0" applyFont="true" applyBorder="true" applyAlignment="true" applyProtection="true">
      <alignment horizontal="center" vertical="center" textRotation="0" wrapText="true" indent="0" shrinkToFit="false"/>
      <protection locked="true" hidden="false"/>
    </xf>
    <xf numFmtId="164" fontId="14" fillId="9" borderId="3" xfId="0" applyFont="true" applyBorder="true" applyAlignment="true" applyProtection="true">
      <alignment horizontal="center" vertical="center" textRotation="0" wrapText="true" indent="0" shrinkToFit="false"/>
      <protection locked="true" hidden="false"/>
    </xf>
    <xf numFmtId="168" fontId="16" fillId="7" borderId="1" xfId="0" applyFont="true" applyBorder="true" applyAlignment="true" applyProtection="true">
      <alignment horizontal="center" vertical="top" textRotation="0" wrapText="true" indent="0" shrinkToFit="false"/>
      <protection locked="true" hidden="false"/>
    </xf>
    <xf numFmtId="164" fontId="17" fillId="0" borderId="0" xfId="0" applyFont="true" applyBorder="true" applyAlignment="true" applyProtection="true">
      <alignment horizontal="left" vertical="top" textRotation="0" wrapText="true" indent="1" shrinkToFit="false"/>
      <protection locked="true" hidden="false"/>
    </xf>
    <xf numFmtId="165" fontId="9" fillId="10" borderId="1" xfId="0" applyFont="true" applyBorder="true" applyAlignment="true" applyProtection="true">
      <alignment horizontal="center" vertical="top" textRotation="0" wrapText="true" indent="0" shrinkToFit="false"/>
      <protection locked="true" hidden="false"/>
    </xf>
    <xf numFmtId="164" fontId="18" fillId="0" borderId="1" xfId="0" applyFont="true" applyBorder="true" applyAlignment="true" applyProtection="true">
      <alignment horizontal="left" vertical="top" textRotation="0" wrapText="true" indent="0" shrinkToFit="false"/>
      <protection locked="true" hidden="false"/>
    </xf>
    <xf numFmtId="167" fontId="9" fillId="10" borderId="1" xfId="0" applyFont="true" applyBorder="true" applyAlignment="true" applyProtection="true">
      <alignment horizontal="center" vertical="top" textRotation="0" wrapText="true" indent="0" shrinkToFit="false"/>
      <protection locked="true" hidden="false"/>
    </xf>
    <xf numFmtId="167" fontId="15" fillId="4" borderId="1" xfId="0" applyFont="true" applyBorder="true" applyAlignment="true" applyProtection="true">
      <alignment horizontal="center" vertical="top" textRotation="0" wrapText="true" indent="0" shrinkToFit="false"/>
      <protection locked="true" hidden="false"/>
    </xf>
    <xf numFmtId="169" fontId="15" fillId="11" borderId="1" xfId="0" applyFont="true" applyBorder="true" applyAlignment="true" applyProtection="true">
      <alignment horizontal="center" vertical="top" textRotation="0" wrapText="true" indent="0" shrinkToFit="false"/>
      <protection locked="true" hidden="false"/>
    </xf>
    <xf numFmtId="169" fontId="15" fillId="12" borderId="1" xfId="0" applyFont="true" applyBorder="true" applyAlignment="true" applyProtection="true">
      <alignment horizontal="center" vertical="top" textRotation="0" wrapText="true" indent="0" shrinkToFit="false"/>
      <protection locked="true" hidden="false"/>
    </xf>
    <xf numFmtId="166" fontId="15" fillId="10" borderId="1" xfId="0" applyFont="true" applyBorder="true" applyAlignment="true" applyProtection="true">
      <alignment horizontal="center" vertical="top" textRotation="0" wrapText="true" indent="0" shrinkToFit="false"/>
      <protection locked="true" hidden="false"/>
    </xf>
    <xf numFmtId="164" fontId="4" fillId="9" borderId="0" xfId="0" applyFont="true" applyBorder="true" applyAlignment="true" applyProtection="true">
      <alignment horizontal="left" vertical="center" textRotation="0" wrapText="false" indent="1" shrinkToFit="false"/>
      <protection locked="true" hidden="false"/>
    </xf>
    <xf numFmtId="164" fontId="9" fillId="10" borderId="1" xfId="0" applyFont="true" applyBorder="true" applyAlignment="true" applyProtection="true">
      <alignment horizontal="left" vertical="top" textRotation="0" wrapText="true" indent="0" shrinkToFit="false"/>
      <protection locked="true" hidden="false"/>
    </xf>
    <xf numFmtId="170" fontId="9" fillId="10" borderId="1" xfId="0" applyFont="true" applyBorder="true" applyAlignment="true" applyProtection="true">
      <alignment horizontal="center" vertical="top" textRotation="0" wrapText="true" indent="0" shrinkToFit="false"/>
      <protection locked="true" hidden="false"/>
    </xf>
    <xf numFmtId="167" fontId="15" fillId="11" borderId="1" xfId="0" applyFont="true" applyBorder="true" applyAlignment="true" applyProtection="true">
      <alignment horizontal="center" vertical="top" textRotation="0" wrapText="true" indent="0" shrinkToFit="false"/>
      <protection locked="true" hidden="false"/>
    </xf>
    <xf numFmtId="167" fontId="15" fillId="10" borderId="1" xfId="0" applyFont="true" applyBorder="true" applyAlignment="true" applyProtection="true">
      <alignment horizontal="center" vertical="top" textRotation="0" wrapText="true" indent="0" shrinkToFit="false"/>
      <protection locked="true" hidden="false"/>
    </xf>
    <xf numFmtId="167" fontId="15" fillId="12" borderId="1" xfId="0" applyFont="true" applyBorder="true" applyAlignment="true" applyProtection="true">
      <alignment horizontal="center" vertical="top" textRotation="0" wrapText="true" indent="0" shrinkToFit="false"/>
      <protection locked="true" hidden="false"/>
    </xf>
    <xf numFmtId="164" fontId="14" fillId="13" borderId="3" xfId="0" applyFont="true" applyBorder="true" applyAlignment="true" applyProtection="true">
      <alignment horizontal="center" vertical="center" textRotation="0" wrapText="true" indent="0" shrinkToFit="false"/>
      <protection locked="true" hidden="false"/>
    </xf>
    <xf numFmtId="164" fontId="4" fillId="13" borderId="0" xfId="0" applyFont="true" applyBorder="true" applyAlignment="true" applyProtection="true">
      <alignment horizontal="left" vertical="center" textRotation="0" wrapText="false" indent="1" shrinkToFit="false"/>
      <protection locked="true" hidden="false"/>
    </xf>
    <xf numFmtId="171" fontId="14" fillId="13" borderId="3" xfId="0" applyFont="true" applyBorder="true" applyAlignment="true" applyProtection="true">
      <alignment horizontal="center" vertical="center" textRotation="0" wrapText="false" indent="0" shrinkToFit="false"/>
      <protection locked="true" hidden="false"/>
    </xf>
    <xf numFmtId="166" fontId="19" fillId="7" borderId="1" xfId="0" applyFont="true" applyBorder="true" applyAlignment="true" applyProtection="true">
      <alignment horizontal="center" vertical="top" textRotation="0" wrapText="true" indent="0" shrinkToFit="false"/>
      <protection locked="true" hidden="false"/>
    </xf>
    <xf numFmtId="166" fontId="15" fillId="4" borderId="1" xfId="0" applyFont="true" applyBorder="true" applyAlignment="true" applyProtection="true">
      <alignment horizontal="center" vertical="top" textRotation="0" wrapText="true" indent="0" shrinkToFit="false"/>
      <protection locked="true" hidden="false"/>
    </xf>
    <xf numFmtId="168" fontId="15" fillId="4" borderId="1" xfId="0" applyFont="true" applyBorder="true" applyAlignment="true" applyProtection="true">
      <alignment horizontal="center" vertical="top" textRotation="0" wrapText="true" indent="0" shrinkToFit="false"/>
      <protection locked="true" hidden="false"/>
    </xf>
    <xf numFmtId="164" fontId="10" fillId="4" borderId="2" xfId="0" applyFont="true" applyBorder="true" applyAlignment="true" applyProtection="true">
      <alignment horizontal="left" vertical="top" textRotation="0" wrapText="true" indent="0" shrinkToFit="false"/>
      <protection locked="true" hidden="false"/>
    </xf>
    <xf numFmtId="166" fontId="10" fillId="4" borderId="2" xfId="0" applyFont="true" applyBorder="true" applyAlignment="true" applyProtection="true">
      <alignment horizontal="left" vertical="top" textRotation="0" wrapText="true" indent="0" shrinkToFit="false"/>
      <protection locked="true" hidden="false"/>
    </xf>
    <xf numFmtId="164" fontId="14" fillId="2" borderId="3" xfId="0" applyFont="true" applyBorder="true" applyAlignment="true" applyProtection="true">
      <alignment horizontal="center" vertical="center" textRotation="0" wrapText="true" indent="0" shrinkToFit="false"/>
      <protection locked="true" hidden="false"/>
    </xf>
    <xf numFmtId="169" fontId="9" fillId="10" borderId="1" xfId="0" applyFont="true" applyBorder="true" applyAlignment="true" applyProtection="true">
      <alignment horizontal="center" vertical="top" textRotation="0" wrapText="true" indent="0" shrinkToFit="false"/>
      <protection locked="true" hidden="false"/>
    </xf>
    <xf numFmtId="166" fontId="15" fillId="12" borderId="1" xfId="0" applyFont="true" applyBorder="true" applyAlignment="true" applyProtection="tru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ADBD8"/>
        </patternFill>
      </fill>
    </dxf>
    <dxf>
      <fill>
        <patternFill>
          <bgColor rgb="FFDCF0E4"/>
        </patternFill>
      </fill>
    </dxf>
    <dxf>
      <font>
        <name val="Arial"/>
        <charset val="1"/>
        <family val="0"/>
        <b val="1"/>
        <color rgb="FF922B21"/>
        <sz val="9"/>
      </font>
      <fill>
        <patternFill>
          <bgColor rgb="FFFADBD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59669"/>
      <rgbColor rgb="FFC8CDD4"/>
      <rgbColor rgb="FF808080"/>
      <rgbColor rgb="FF9999FF"/>
      <rgbColor rgb="FFB91C1C"/>
      <rgbColor rgb="FFFFF9DB"/>
      <rgbColor rgb="FFEEF2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5F7FA"/>
      <rgbColor rgb="FFDCF0E4"/>
      <rgbColor rgb="FFF7EFD3"/>
      <rgbColor rgb="FF99CCFF"/>
      <rgbColor rgb="FFFF99CC"/>
      <rgbColor rgb="FFCC99FF"/>
      <rgbColor rgb="FFFADBD8"/>
      <rgbColor rgb="FF3366FF"/>
      <rgbColor rgb="FF33CCCC"/>
      <rgbColor rgb="FF99CC00"/>
      <rgbColor rgb="FFFFCC00"/>
      <rgbColor rgb="FFC9A227"/>
      <rgbColor rgb="FFD97706"/>
      <rgbColor rgb="FF475569"/>
      <rgbColor rgb="FF969696"/>
      <rgbColor rgb="FF003366"/>
      <rgbColor rgb="FF339966"/>
      <rgbColor rgb="FF003300"/>
      <rgbColor rgb="FF333300"/>
      <rgbColor rgb="FF922B21"/>
      <rgbColor rgb="FF993366"/>
      <rgbColor rgb="FF555555"/>
      <rgbColor rgb="FF1A2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97706"/>
    <pageSetUpPr fitToPage="true"/>
  </sheetPr>
  <dimension ref="A1:H2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8" min="2" style="1" width="20"/>
  </cols>
  <sheetData>
    <row r="1" customFormat="false" ht="30" hidden="false" customHeight="true" outlineLevel="0" collapsed="false">
      <c r="A1" s="2" t="s">
        <v>0</v>
      </c>
      <c r="B1" s="2"/>
      <c r="C1" s="2"/>
      <c r="D1" s="2"/>
      <c r="E1" s="2"/>
      <c r="F1" s="2"/>
      <c r="G1" s="2"/>
      <c r="H1" s="2"/>
    </row>
    <row r="2" customFormat="false" ht="25.5" hidden="false" customHeight="true" outlineLevel="0" collapsed="false">
      <c r="A2" s="3" t="s">
        <v>1</v>
      </c>
      <c r="B2" s="3"/>
      <c r="C2" s="3"/>
      <c r="D2" s="3"/>
      <c r="E2" s="3"/>
      <c r="F2" s="3"/>
      <c r="G2" s="3"/>
      <c r="H2" s="3"/>
    </row>
    <row r="4" customFormat="false" ht="21.75" hidden="false" customHeight="true" outlineLevel="0" collapsed="false">
      <c r="A4" s="4" t="s">
        <v>2</v>
      </c>
      <c r="B4" s="4"/>
      <c r="C4" s="4"/>
      <c r="D4" s="4"/>
      <c r="E4" s="4"/>
      <c r="F4" s="4"/>
      <c r="G4" s="4"/>
      <c r="H4" s="4"/>
    </row>
    <row r="5" customFormat="false" ht="51.75" hidden="false" customHeight="true" outlineLevel="0" collapsed="false">
      <c r="A5" s="5" t="s">
        <v>3</v>
      </c>
      <c r="B5" s="5"/>
      <c r="C5" s="5"/>
      <c r="D5" s="5"/>
      <c r="E5" s="5"/>
      <c r="F5" s="5"/>
      <c r="G5" s="5"/>
      <c r="H5" s="5"/>
    </row>
    <row r="6" customFormat="false" ht="51.75" hidden="false" customHeight="true" outlineLevel="0" collapsed="false">
      <c r="A6" s="5" t="s">
        <v>4</v>
      </c>
      <c r="B6" s="5"/>
      <c r="C6" s="5"/>
      <c r="D6" s="5"/>
      <c r="E6" s="5"/>
      <c r="F6" s="5"/>
      <c r="G6" s="5"/>
      <c r="H6" s="5"/>
    </row>
    <row r="7" customFormat="false" ht="51.75" hidden="false" customHeight="true" outlineLevel="0" collapsed="false">
      <c r="A7" s="5" t="s">
        <v>5</v>
      </c>
      <c r="B7" s="5"/>
      <c r="C7" s="5"/>
      <c r="D7" s="5"/>
      <c r="E7" s="5"/>
      <c r="F7" s="5"/>
      <c r="G7" s="5"/>
      <c r="H7" s="5"/>
    </row>
    <row r="9" customFormat="false" ht="21.75" hidden="false" customHeight="true" outlineLevel="0" collapsed="false">
      <c r="A9" s="4" t="s">
        <v>6</v>
      </c>
      <c r="B9" s="4"/>
      <c r="C9" s="4"/>
      <c r="D9" s="4"/>
      <c r="E9" s="4"/>
      <c r="F9" s="4"/>
      <c r="G9" s="4"/>
      <c r="H9" s="4"/>
    </row>
    <row r="10" customFormat="false" ht="45.75" hidden="false" customHeight="true" outlineLevel="0" collapsed="false">
      <c r="A10" s="6" t="s">
        <v>7</v>
      </c>
      <c r="B10" s="7" t="s">
        <v>8</v>
      </c>
      <c r="C10" s="7"/>
      <c r="D10" s="7"/>
      <c r="E10" s="7"/>
      <c r="F10" s="7"/>
      <c r="G10" s="7"/>
      <c r="H10" s="7"/>
    </row>
    <row r="11" customFormat="false" ht="45.75" hidden="false" customHeight="true" outlineLevel="0" collapsed="false">
      <c r="A11" s="6" t="s">
        <v>9</v>
      </c>
      <c r="B11" s="7" t="s">
        <v>10</v>
      </c>
      <c r="C11" s="7"/>
      <c r="D11" s="7"/>
      <c r="E11" s="7"/>
      <c r="F11" s="7"/>
      <c r="G11" s="7"/>
      <c r="H11" s="7"/>
    </row>
    <row r="12" customFormat="false" ht="45.75" hidden="false" customHeight="true" outlineLevel="0" collapsed="false">
      <c r="A12" s="6" t="s">
        <v>11</v>
      </c>
      <c r="B12" s="7" t="s">
        <v>12</v>
      </c>
      <c r="C12" s="7"/>
      <c r="D12" s="7"/>
      <c r="E12" s="7"/>
      <c r="F12" s="7"/>
      <c r="G12" s="7"/>
      <c r="H12" s="7"/>
    </row>
    <row r="13" customFormat="false" ht="45.75" hidden="false" customHeight="true" outlineLevel="0" collapsed="false">
      <c r="A13" s="6" t="s">
        <v>13</v>
      </c>
      <c r="B13" s="7" t="s">
        <v>14</v>
      </c>
      <c r="C13" s="7"/>
      <c r="D13" s="7"/>
      <c r="E13" s="7"/>
      <c r="F13" s="7"/>
      <c r="G13" s="7"/>
      <c r="H13" s="7"/>
    </row>
    <row r="14" customFormat="false" ht="45.75" hidden="false" customHeight="true" outlineLevel="0" collapsed="false">
      <c r="A14" s="6" t="s">
        <v>15</v>
      </c>
      <c r="B14" s="7" t="s">
        <v>16</v>
      </c>
      <c r="C14" s="7"/>
      <c r="D14" s="7"/>
      <c r="E14" s="7"/>
      <c r="F14" s="7"/>
      <c r="G14" s="7"/>
      <c r="H14" s="7"/>
    </row>
    <row r="16" customFormat="false" ht="21.75" hidden="false" customHeight="true" outlineLevel="0" collapsed="false">
      <c r="A16" s="4" t="s">
        <v>17</v>
      </c>
      <c r="B16" s="4"/>
      <c r="C16" s="4"/>
      <c r="D16" s="4"/>
      <c r="E16" s="4"/>
      <c r="F16" s="4"/>
      <c r="G16" s="4"/>
      <c r="H16" s="4"/>
    </row>
    <row r="17" customFormat="false" ht="24" hidden="false" customHeight="true" outlineLevel="0" collapsed="false">
      <c r="A17" s="8" t="s">
        <v>18</v>
      </c>
      <c r="B17" s="9" t="s">
        <v>19</v>
      </c>
      <c r="C17" s="9"/>
      <c r="D17" s="9"/>
      <c r="E17" s="9"/>
      <c r="F17" s="9"/>
      <c r="G17" s="9"/>
      <c r="H17" s="9"/>
    </row>
    <row r="18" customFormat="false" ht="24" hidden="false" customHeight="true" outlineLevel="0" collapsed="false">
      <c r="A18" s="8" t="s">
        <v>20</v>
      </c>
      <c r="B18" s="9" t="s">
        <v>21</v>
      </c>
      <c r="C18" s="9"/>
      <c r="D18" s="9"/>
      <c r="E18" s="9"/>
      <c r="F18" s="9"/>
      <c r="G18" s="9"/>
      <c r="H18" s="9"/>
    </row>
    <row r="19" customFormat="false" ht="24" hidden="false" customHeight="true" outlineLevel="0" collapsed="false">
      <c r="A19" s="8" t="s">
        <v>22</v>
      </c>
      <c r="B19" s="9" t="s">
        <v>23</v>
      </c>
      <c r="C19" s="9"/>
      <c r="D19" s="9"/>
      <c r="E19" s="9"/>
      <c r="F19" s="9"/>
      <c r="G19" s="9"/>
      <c r="H19" s="9"/>
    </row>
    <row r="20" customFormat="false" ht="24" hidden="false" customHeight="true" outlineLevel="0" collapsed="false">
      <c r="A20" s="8" t="s">
        <v>24</v>
      </c>
      <c r="B20" s="9" t="s">
        <v>25</v>
      </c>
      <c r="C20" s="9"/>
      <c r="D20" s="9"/>
      <c r="E20" s="9"/>
      <c r="F20" s="9"/>
      <c r="G20" s="9"/>
      <c r="H20" s="9"/>
    </row>
    <row r="21" customFormat="false" ht="24" hidden="false" customHeight="true" outlineLevel="0" collapsed="false">
      <c r="A21" s="8" t="s">
        <v>26</v>
      </c>
      <c r="B21" s="9" t="s">
        <v>27</v>
      </c>
      <c r="C21" s="9"/>
      <c r="D21" s="9"/>
      <c r="E21" s="9"/>
      <c r="F21" s="9"/>
      <c r="G21" s="9"/>
      <c r="H21" s="9"/>
    </row>
    <row r="23" customFormat="false" ht="21.75" hidden="false" customHeight="true" outlineLevel="0" collapsed="false">
      <c r="A23" s="4" t="s">
        <v>28</v>
      </c>
      <c r="B23" s="4"/>
      <c r="C23" s="4"/>
      <c r="D23" s="4"/>
      <c r="E23" s="4"/>
      <c r="F23" s="4"/>
      <c r="G23" s="4"/>
      <c r="H23" s="4"/>
    </row>
    <row r="24" customFormat="false" ht="15" hidden="false" customHeight="true" outlineLevel="0" collapsed="false">
      <c r="A24" s="10" t="s">
        <v>29</v>
      </c>
      <c r="B24" s="10"/>
      <c r="C24" s="10"/>
      <c r="D24" s="10"/>
      <c r="E24" s="10"/>
      <c r="F24" s="10"/>
      <c r="G24" s="10"/>
      <c r="H24" s="10"/>
    </row>
    <row r="25" customFormat="false" ht="15" hidden="false" customHeight="true" outlineLevel="0" collapsed="false">
      <c r="A25" s="10"/>
      <c r="B25" s="10"/>
      <c r="C25" s="10"/>
      <c r="D25" s="10"/>
      <c r="E25" s="10"/>
      <c r="F25" s="10"/>
      <c r="G25" s="10"/>
      <c r="H25" s="10"/>
    </row>
    <row r="27" customFormat="false" ht="15" hidden="false" customHeight="true" outlineLevel="0" collapsed="false">
      <c r="A27" s="11" t="s">
        <v>30</v>
      </c>
      <c r="B27" s="11"/>
      <c r="C27" s="11"/>
      <c r="D27" s="11"/>
      <c r="E27" s="11"/>
      <c r="F27" s="11"/>
      <c r="G27" s="11"/>
      <c r="H27" s="11"/>
    </row>
    <row r="28" customFormat="false" ht="15" hidden="false" customHeight="true" outlineLevel="0" collapsed="false">
      <c r="A28" s="11"/>
      <c r="B28" s="11"/>
      <c r="C28" s="11"/>
      <c r="D28" s="11"/>
      <c r="E28" s="11"/>
      <c r="F28" s="11"/>
      <c r="G28" s="11"/>
      <c r="H28" s="11"/>
    </row>
  </sheetData>
  <mergeCells count="21">
    <mergeCell ref="A1:H1"/>
    <mergeCell ref="A2:H2"/>
    <mergeCell ref="A4:H4"/>
    <mergeCell ref="A5:H5"/>
    <mergeCell ref="A6:H6"/>
    <mergeCell ref="A7:H7"/>
    <mergeCell ref="A9:H9"/>
    <mergeCell ref="B10:H10"/>
    <mergeCell ref="B11:H11"/>
    <mergeCell ref="B12:H12"/>
    <mergeCell ref="B13:H13"/>
    <mergeCell ref="B14:H14"/>
    <mergeCell ref="A16:H16"/>
    <mergeCell ref="B17:H17"/>
    <mergeCell ref="B18:H18"/>
    <mergeCell ref="B19:H19"/>
    <mergeCell ref="B20:H20"/>
    <mergeCell ref="B21:H21"/>
    <mergeCell ref="A23:H23"/>
    <mergeCell ref="A24:H25"/>
    <mergeCell ref="A27:H28"/>
  </mergeCells>
  <printOptions headings="false" gridLines="false" gridLinesSet="true" horizontalCentered="true" verticalCentered="false"/>
  <pageMargins left="0.4" right="0.4" top="0.5" bottom="0.5" header="0.511811023622047" footer="0.25"/>
  <pageSetup paperSize="1" scale="100" fitToWidth="1" fitToHeight="0" pageOrder="downThenOver" orientation="portrait"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A1:E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5" topLeftCell="A3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18"/>
    <col collapsed="false" customWidth="true" hidden="false" outlineLevel="0" max="3" min="3" style="1" width="12"/>
    <col collapsed="false" customWidth="true" hidden="false" outlineLevel="0" max="4" min="4" style="1" width="44"/>
    <col collapsed="false" customWidth="true" hidden="false" outlineLevel="0" max="5" min="5" style="1" width="30"/>
    <col collapsed="false" customWidth="true" hidden="false" outlineLevel="0" max="6" min="6" style="1" width="14"/>
  </cols>
  <sheetData>
    <row r="1" customFormat="false" ht="30" hidden="false" customHeight="true" outlineLevel="0" collapsed="false">
      <c r="A1" s="12" t="s">
        <v>31</v>
      </c>
      <c r="B1" s="12"/>
      <c r="C1" s="12"/>
      <c r="D1" s="12"/>
      <c r="E1" s="12"/>
    </row>
    <row r="2" customFormat="false" ht="25.5" hidden="false" customHeight="true" outlineLevel="0" collapsed="false">
      <c r="A2" s="3" t="s">
        <v>32</v>
      </c>
      <c r="B2" s="3"/>
      <c r="C2" s="3"/>
      <c r="D2" s="3"/>
      <c r="E2" s="3"/>
    </row>
    <row r="4" customFormat="false" ht="21.75" hidden="false" customHeight="true" outlineLevel="0" collapsed="false">
      <c r="A4" s="4" t="s">
        <v>33</v>
      </c>
      <c r="B4" s="4"/>
      <c r="C4" s="4"/>
      <c r="D4" s="4"/>
      <c r="E4" s="4"/>
    </row>
    <row r="5" customFormat="false" ht="25.5" hidden="false" customHeight="true" outlineLevel="0" collapsed="false">
      <c r="A5" s="13" t="s">
        <v>34</v>
      </c>
      <c r="B5" s="13" t="s">
        <v>35</v>
      </c>
      <c r="C5" s="13" t="s">
        <v>36</v>
      </c>
      <c r="D5" s="13" t="s">
        <v>37</v>
      </c>
      <c r="E5" s="13" t="s">
        <v>38</v>
      </c>
    </row>
    <row r="6" customFormat="false" ht="33.75" hidden="false" customHeight="true" outlineLevel="0" collapsed="false">
      <c r="A6" s="14" t="s">
        <v>39</v>
      </c>
      <c r="B6" s="15" t="n">
        <v>12000000</v>
      </c>
      <c r="C6" s="16" t="s">
        <v>40</v>
      </c>
      <c r="D6" s="17" t="s">
        <v>41</v>
      </c>
      <c r="E6" s="18"/>
    </row>
    <row r="7" customFormat="false" ht="33.75" hidden="false" customHeight="true" outlineLevel="0" collapsed="false">
      <c r="A7" s="14" t="s">
        <v>42</v>
      </c>
      <c r="B7" s="19" t="n">
        <v>0.35</v>
      </c>
      <c r="C7" s="16" t="s">
        <v>43</v>
      </c>
      <c r="D7" s="17" t="s">
        <v>44</v>
      </c>
      <c r="E7" s="18"/>
    </row>
    <row r="8" customFormat="false" ht="33.75" hidden="false" customHeight="true" outlineLevel="0" collapsed="false">
      <c r="A8" s="14" t="s">
        <v>45</v>
      </c>
      <c r="B8" s="19" t="n">
        <v>0.45</v>
      </c>
      <c r="C8" s="16" t="s">
        <v>43</v>
      </c>
      <c r="D8" s="17" t="s">
        <v>46</v>
      </c>
      <c r="E8" s="18"/>
    </row>
    <row r="9" customFormat="false" ht="33.75" hidden="false" customHeight="true" outlineLevel="0" collapsed="false">
      <c r="A9" s="14" t="s">
        <v>47</v>
      </c>
      <c r="B9" s="15" t="n">
        <v>120</v>
      </c>
      <c r="C9" s="16" t="s">
        <v>40</v>
      </c>
      <c r="D9" s="17" t="s">
        <v>48</v>
      </c>
      <c r="E9" s="18"/>
    </row>
    <row r="10" customFormat="false" ht="33.75" hidden="false" customHeight="true" outlineLevel="0" collapsed="false">
      <c r="A10" s="14" t="s">
        <v>49</v>
      </c>
      <c r="B10" s="19" t="n">
        <v>0.3</v>
      </c>
      <c r="C10" s="16" t="s">
        <v>43</v>
      </c>
      <c r="D10" s="17" t="s">
        <v>50</v>
      </c>
      <c r="E10" s="18"/>
    </row>
    <row r="12" customFormat="false" ht="21.75" hidden="false" customHeight="true" outlineLevel="0" collapsed="false">
      <c r="A12" s="4" t="s">
        <v>51</v>
      </c>
      <c r="B12" s="4"/>
      <c r="C12" s="4"/>
      <c r="D12" s="4"/>
      <c r="E12" s="4"/>
    </row>
    <row r="13" customFormat="false" ht="25.5" hidden="false" customHeight="true" outlineLevel="0" collapsed="false">
      <c r="A13" s="13" t="s">
        <v>34</v>
      </c>
      <c r="B13" s="13" t="s">
        <v>35</v>
      </c>
      <c r="C13" s="13" t="s">
        <v>36</v>
      </c>
      <c r="D13" s="13" t="s">
        <v>37</v>
      </c>
      <c r="E13" s="13" t="s">
        <v>38</v>
      </c>
    </row>
    <row r="14" customFormat="false" ht="33.75" hidden="false" customHeight="true" outlineLevel="0" collapsed="false">
      <c r="A14" s="14" t="s">
        <v>52</v>
      </c>
      <c r="B14" s="20" t="n">
        <v>2400000</v>
      </c>
      <c r="C14" s="16" t="s">
        <v>53</v>
      </c>
      <c r="D14" s="17" t="s">
        <v>54</v>
      </c>
      <c r="E14" s="18"/>
    </row>
    <row r="15" customFormat="false" ht="33.75" hidden="false" customHeight="true" outlineLevel="0" collapsed="false">
      <c r="A15" s="14" t="s">
        <v>55</v>
      </c>
      <c r="B15" s="20" t="n">
        <v>600000</v>
      </c>
      <c r="C15" s="16" t="s">
        <v>53</v>
      </c>
      <c r="D15" s="17" t="s">
        <v>56</v>
      </c>
      <c r="E15" s="18"/>
    </row>
    <row r="16" customFormat="false" ht="33.75" hidden="false" customHeight="true" outlineLevel="0" collapsed="false">
      <c r="A16" s="14" t="s">
        <v>57</v>
      </c>
      <c r="B16" s="20" t="n">
        <v>900000</v>
      </c>
      <c r="C16" s="16" t="s">
        <v>53</v>
      </c>
      <c r="D16" s="17" t="s">
        <v>58</v>
      </c>
      <c r="E16" s="18"/>
    </row>
    <row r="17" customFormat="false" ht="33.75" hidden="false" customHeight="true" outlineLevel="0" collapsed="false">
      <c r="A17" s="14" t="s">
        <v>59</v>
      </c>
      <c r="B17" s="20" t="n">
        <v>1500000</v>
      </c>
      <c r="C17" s="16" t="s">
        <v>53</v>
      </c>
      <c r="D17" s="17" t="s">
        <v>60</v>
      </c>
      <c r="E17" s="18"/>
    </row>
    <row r="19" customFormat="false" ht="21.75" hidden="false" customHeight="true" outlineLevel="0" collapsed="false">
      <c r="A19" s="4" t="s">
        <v>61</v>
      </c>
      <c r="B19" s="4"/>
      <c r="C19" s="4"/>
      <c r="D19" s="4"/>
      <c r="E19" s="4"/>
    </row>
    <row r="20" customFormat="false" ht="25.5" hidden="false" customHeight="true" outlineLevel="0" collapsed="false">
      <c r="A20" s="21" t="s">
        <v>34</v>
      </c>
      <c r="B20" s="21" t="s">
        <v>35</v>
      </c>
      <c r="C20" s="21" t="s">
        <v>36</v>
      </c>
      <c r="D20" s="21" t="s">
        <v>37</v>
      </c>
      <c r="E20" s="21" t="s">
        <v>38</v>
      </c>
    </row>
    <row r="21" customFormat="false" ht="33.75" hidden="false" customHeight="true" outlineLevel="0" collapsed="false">
      <c r="A21" s="14" t="s">
        <v>62</v>
      </c>
      <c r="B21" s="15" t="n">
        <v>24</v>
      </c>
      <c r="C21" s="16" t="s">
        <v>40</v>
      </c>
      <c r="D21" s="17" t="s">
        <v>63</v>
      </c>
      <c r="E21" s="18"/>
    </row>
    <row r="22" customFormat="false" ht="33.75" hidden="false" customHeight="true" outlineLevel="0" collapsed="false">
      <c r="A22" s="14" t="s">
        <v>64</v>
      </c>
      <c r="B22" s="20" t="n">
        <v>180000</v>
      </c>
      <c r="C22" s="16" t="s">
        <v>65</v>
      </c>
      <c r="D22" s="17" t="s">
        <v>66</v>
      </c>
      <c r="E22" s="18"/>
    </row>
    <row r="23" customFormat="false" ht="33.75" hidden="false" customHeight="true" outlineLevel="0" collapsed="false">
      <c r="A23" s="14" t="s">
        <v>67</v>
      </c>
      <c r="B23" s="19" t="n">
        <v>0.12</v>
      </c>
      <c r="C23" s="16" t="s">
        <v>43</v>
      </c>
      <c r="D23" s="17" t="s">
        <v>68</v>
      </c>
      <c r="E23" s="18"/>
    </row>
    <row r="24" customFormat="false" ht="33.75" hidden="false" customHeight="true" outlineLevel="0" collapsed="false">
      <c r="A24" s="14" t="s">
        <v>69</v>
      </c>
      <c r="B24" s="20" t="n">
        <v>12000000</v>
      </c>
      <c r="C24" s="16" t="s">
        <v>65</v>
      </c>
      <c r="D24" s="17" t="s">
        <v>70</v>
      </c>
      <c r="E24" s="18"/>
    </row>
    <row r="26" customFormat="false" ht="21.75" hidden="false" customHeight="true" outlineLevel="0" collapsed="false">
      <c r="A26" s="4" t="s">
        <v>71</v>
      </c>
      <c r="B26" s="4"/>
      <c r="C26" s="4"/>
      <c r="D26" s="4"/>
      <c r="E26" s="4"/>
    </row>
    <row r="27" customFormat="false" ht="25.5" hidden="false" customHeight="true" outlineLevel="0" collapsed="false">
      <c r="A27" s="22" t="s">
        <v>34</v>
      </c>
      <c r="B27" s="22" t="s">
        <v>35</v>
      </c>
      <c r="C27" s="22" t="s">
        <v>36</v>
      </c>
      <c r="D27" s="22" t="s">
        <v>37</v>
      </c>
      <c r="E27" s="22" t="s">
        <v>38</v>
      </c>
    </row>
    <row r="28" customFormat="false" ht="33.75" hidden="false" customHeight="true" outlineLevel="0" collapsed="false">
      <c r="A28" s="14" t="s">
        <v>72</v>
      </c>
      <c r="B28" s="19" t="n">
        <v>0.4</v>
      </c>
      <c r="C28" s="16" t="s">
        <v>43</v>
      </c>
      <c r="D28" s="17" t="s">
        <v>73</v>
      </c>
      <c r="E28" s="18"/>
    </row>
    <row r="29" customFormat="false" ht="33.75" hidden="false" customHeight="true" outlineLevel="0" collapsed="false">
      <c r="A29" s="14" t="s">
        <v>74</v>
      </c>
      <c r="B29" s="19" t="n">
        <v>0.55</v>
      </c>
      <c r="C29" s="16" t="s">
        <v>43</v>
      </c>
      <c r="D29" s="17" t="s">
        <v>75</v>
      </c>
      <c r="E29" s="18"/>
    </row>
    <row r="30" customFormat="false" ht="33.75" hidden="false" customHeight="true" outlineLevel="0" collapsed="false">
      <c r="A30" s="14" t="s">
        <v>76</v>
      </c>
      <c r="B30" s="19" t="n">
        <v>0.35</v>
      </c>
      <c r="C30" s="16" t="s">
        <v>43</v>
      </c>
      <c r="D30" s="17" t="s">
        <v>77</v>
      </c>
      <c r="E30" s="18"/>
    </row>
    <row r="31" customFormat="false" ht="33.75" hidden="false" customHeight="true" outlineLevel="0" collapsed="false">
      <c r="A31" s="14" t="s">
        <v>78</v>
      </c>
      <c r="B31" s="19" t="n">
        <v>0.6</v>
      </c>
      <c r="C31" s="16" t="s">
        <v>43</v>
      </c>
      <c r="D31" s="17" t="s">
        <v>79</v>
      </c>
      <c r="E31" s="18"/>
    </row>
    <row r="32" customFormat="false" ht="33.75" hidden="false" customHeight="true" outlineLevel="0" collapsed="false">
      <c r="A32" s="14" t="s">
        <v>80</v>
      </c>
      <c r="B32" s="19" t="n">
        <v>0.5</v>
      </c>
      <c r="C32" s="16" t="s">
        <v>43</v>
      </c>
      <c r="D32" s="17" t="s">
        <v>81</v>
      </c>
      <c r="E32" s="18"/>
    </row>
    <row r="34" customFormat="false" ht="21.75" hidden="false" customHeight="true" outlineLevel="0" collapsed="false">
      <c r="A34" s="4" t="s">
        <v>82</v>
      </c>
      <c r="B34" s="4"/>
      <c r="C34" s="4"/>
      <c r="D34" s="4"/>
      <c r="E34" s="4"/>
    </row>
    <row r="35" customFormat="false" ht="25.5" hidden="false" customHeight="true" outlineLevel="0" collapsed="false">
      <c r="A35" s="13" t="s">
        <v>34</v>
      </c>
      <c r="B35" s="13" t="s">
        <v>35</v>
      </c>
      <c r="C35" s="13" t="s">
        <v>36</v>
      </c>
      <c r="D35" s="13" t="s">
        <v>37</v>
      </c>
      <c r="E35" s="13" t="s">
        <v>38</v>
      </c>
    </row>
    <row r="36" customFormat="false" ht="33.75" hidden="false" customHeight="true" outlineLevel="0" collapsed="false">
      <c r="A36" s="14" t="s">
        <v>83</v>
      </c>
      <c r="B36" s="19" t="n">
        <v>0.09</v>
      </c>
      <c r="C36" s="16" t="s">
        <v>43</v>
      </c>
      <c r="D36" s="17" t="s">
        <v>84</v>
      </c>
      <c r="E36" s="18"/>
    </row>
    <row r="37" customFormat="false" ht="33.75" hidden="false" customHeight="true" outlineLevel="0" collapsed="false">
      <c r="A37" s="14" t="s">
        <v>85</v>
      </c>
      <c r="B37" s="19" t="n">
        <v>0.25</v>
      </c>
      <c r="C37" s="16" t="s">
        <v>43</v>
      </c>
      <c r="D37" s="17" t="s">
        <v>86</v>
      </c>
      <c r="E37" s="18"/>
    </row>
    <row r="38" customFormat="false" ht="33.75" hidden="false" customHeight="true" outlineLevel="0" collapsed="false">
      <c r="A38" s="14" t="s">
        <v>87</v>
      </c>
      <c r="B38" s="23" t="n">
        <v>5</v>
      </c>
      <c r="C38" s="16" t="s">
        <v>88</v>
      </c>
      <c r="D38" s="17" t="s">
        <v>89</v>
      </c>
      <c r="E38" s="18"/>
    </row>
    <row r="40" customFormat="false" ht="30" hidden="false" customHeight="true" outlineLevel="0" collapsed="false">
      <c r="A40" s="24" t="s">
        <v>90</v>
      </c>
      <c r="B40" s="24"/>
      <c r="C40" s="24"/>
      <c r="D40" s="24"/>
      <c r="E40" s="24"/>
    </row>
    <row r="41" customFormat="false" ht="15" hidden="false" customHeight="true" outlineLevel="0" collapsed="false">
      <c r="A41" s="11" t="s">
        <v>30</v>
      </c>
      <c r="B41" s="11"/>
      <c r="C41" s="11"/>
      <c r="D41" s="11"/>
      <c r="E41" s="11"/>
    </row>
    <row r="42" customFormat="false" ht="15" hidden="false" customHeight="true" outlineLevel="0" collapsed="false">
      <c r="A42" s="11"/>
      <c r="B42" s="11"/>
      <c r="C42" s="11"/>
      <c r="D42" s="11"/>
      <c r="E42" s="11"/>
    </row>
  </sheetData>
  <mergeCells count="9">
    <mergeCell ref="A1:E1"/>
    <mergeCell ref="A2:E2"/>
    <mergeCell ref="A4:E4"/>
    <mergeCell ref="A12:E12"/>
    <mergeCell ref="A19:E19"/>
    <mergeCell ref="A26:E26"/>
    <mergeCell ref="A34:E34"/>
    <mergeCell ref="A40:E40"/>
    <mergeCell ref="A41:E42"/>
  </mergeCells>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97706"/>
    <pageSetUpPr fitToPage="true"/>
  </sheetPr>
  <dimension ref="A1:H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1" topLeftCell="A2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7" min="2" style="1" width="16"/>
    <col collapsed="false" customWidth="true" hidden="false" outlineLevel="0" max="8" min="8" style="1" width="34"/>
  </cols>
  <sheetData>
    <row r="1" customFormat="false" ht="30" hidden="false" customHeight="true" outlineLevel="0" collapsed="false">
      <c r="A1" s="2" t="s">
        <v>91</v>
      </c>
      <c r="B1" s="2"/>
      <c r="C1" s="2"/>
      <c r="D1" s="2"/>
      <c r="E1" s="2"/>
      <c r="F1" s="2"/>
      <c r="G1" s="2"/>
      <c r="H1" s="2"/>
    </row>
    <row r="2" customFormat="false" ht="25.5" hidden="false" customHeight="true" outlineLevel="0" collapsed="false">
      <c r="A2" s="3" t="s">
        <v>92</v>
      </c>
      <c r="B2" s="3"/>
      <c r="C2" s="3"/>
      <c r="D2" s="3"/>
      <c r="E2" s="3"/>
      <c r="F2" s="3"/>
      <c r="G2" s="3"/>
      <c r="H2" s="3"/>
    </row>
    <row r="4" customFormat="false" ht="21.75" hidden="false" customHeight="true" outlineLevel="0" collapsed="false">
      <c r="A4" s="4" t="s">
        <v>93</v>
      </c>
      <c r="B4" s="4"/>
      <c r="C4" s="4"/>
      <c r="D4" s="4"/>
      <c r="E4" s="4"/>
      <c r="F4" s="4"/>
      <c r="G4" s="4"/>
      <c r="H4" s="4"/>
    </row>
    <row r="5" customFormat="false" ht="25.5" hidden="false" customHeight="true" outlineLevel="0" collapsed="false">
      <c r="A5" s="13" t="s">
        <v>94</v>
      </c>
      <c r="B5" s="13" t="s">
        <v>95</v>
      </c>
      <c r="C5" s="13" t="s">
        <v>96</v>
      </c>
      <c r="D5" s="13" t="s">
        <v>97</v>
      </c>
      <c r="E5" s="13" t="s">
        <v>98</v>
      </c>
      <c r="F5" s="13" t="s">
        <v>99</v>
      </c>
      <c r="G5" s="13" t="s">
        <v>100</v>
      </c>
      <c r="H5" s="13" t="s">
        <v>101</v>
      </c>
    </row>
    <row r="6" customFormat="false" ht="18.75" hidden="false" customHeight="true" outlineLevel="0" collapsed="false">
      <c r="A6" s="14" t="s">
        <v>102</v>
      </c>
      <c r="B6" s="25" t="n">
        <f aca="false">Assumptions!$B$6</f>
        <v>12000000</v>
      </c>
      <c r="C6" s="25" t="n">
        <f aca="false">B6*(1+Assumptions!$B$8)</f>
        <v>17400000</v>
      </c>
      <c r="D6" s="25" t="n">
        <f aca="false">C6*(1+Assumptions!$B$8)</f>
        <v>25230000</v>
      </c>
      <c r="E6" s="25" t="n">
        <f aca="false">D6*(1+Assumptions!$B$8)</f>
        <v>36583500</v>
      </c>
      <c r="F6" s="25" t="n">
        <f aca="false">E6*(1+Assumptions!$B$8)</f>
        <v>53046075</v>
      </c>
      <c r="G6" s="25" t="n">
        <f aca="false">F6*(1+Assumptions!$B$8)</f>
        <v>76916808.75</v>
      </c>
      <c r="H6" s="26" t="s">
        <v>103</v>
      </c>
    </row>
    <row r="7" customFormat="false" ht="18.75" hidden="false" customHeight="true" outlineLevel="0" collapsed="false">
      <c r="A7" s="14" t="s">
        <v>104</v>
      </c>
      <c r="B7" s="25" t="n">
        <f aca="false">B6*Assumptions!$B$7</f>
        <v>4200000</v>
      </c>
      <c r="C7" s="25" t="n">
        <f aca="false">C6*Assumptions!$B$7</f>
        <v>6090000</v>
      </c>
      <c r="D7" s="25" t="n">
        <f aca="false">D6*Assumptions!$B$7</f>
        <v>8830500</v>
      </c>
      <c r="E7" s="25" t="n">
        <f aca="false">E6*Assumptions!$B$7</f>
        <v>12804225</v>
      </c>
      <c r="F7" s="25" t="n">
        <f aca="false">F6*Assumptions!$B$7</f>
        <v>18566126.25</v>
      </c>
      <c r="G7" s="25" t="n">
        <f aca="false">G6*Assumptions!$B$7</f>
        <v>26920883.0625</v>
      </c>
      <c r="H7" s="26" t="s">
        <v>105</v>
      </c>
    </row>
    <row r="9" customFormat="false" ht="21.75" hidden="false" customHeight="true" outlineLevel="0" collapsed="false">
      <c r="A9" s="4" t="s">
        <v>106</v>
      </c>
      <c r="B9" s="4"/>
      <c r="C9" s="4"/>
      <c r="D9" s="4"/>
      <c r="E9" s="4"/>
      <c r="F9" s="4"/>
      <c r="G9" s="4"/>
      <c r="H9" s="4"/>
    </row>
    <row r="10" customFormat="false" ht="25.5" hidden="false" customHeight="true" outlineLevel="0" collapsed="false">
      <c r="A10" s="21" t="s">
        <v>107</v>
      </c>
      <c r="B10" s="21" t="s">
        <v>95</v>
      </c>
      <c r="C10" s="21" t="s">
        <v>96</v>
      </c>
      <c r="D10" s="21" t="s">
        <v>97</v>
      </c>
      <c r="E10" s="21" t="s">
        <v>98</v>
      </c>
      <c r="F10" s="21" t="s">
        <v>99</v>
      </c>
      <c r="G10" s="21" t="s">
        <v>100</v>
      </c>
      <c r="H10" s="21" t="s">
        <v>108</v>
      </c>
    </row>
    <row r="11" customFormat="false" ht="30" hidden="false" customHeight="true" outlineLevel="0" collapsed="false">
      <c r="A11" s="14" t="s">
        <v>52</v>
      </c>
      <c r="B11" s="27" t="n">
        <f aca="false">Assumptions!$B$14</f>
        <v>2400000</v>
      </c>
      <c r="C11" s="27" t="n">
        <f aca="false">$B11*(C6/$B$6)</f>
        <v>3480000</v>
      </c>
      <c r="D11" s="27" t="n">
        <f aca="false">$B11*(D6/$B$6)</f>
        <v>5046000</v>
      </c>
      <c r="E11" s="27" t="n">
        <f aca="false">$B11*(E6/$B$6)</f>
        <v>7316700</v>
      </c>
      <c r="F11" s="27" t="n">
        <f aca="false">$B11*(F6/$B$6)</f>
        <v>10609215</v>
      </c>
      <c r="G11" s="27" t="n">
        <f aca="false">$B11*(G6/$B$6)</f>
        <v>15383361.75</v>
      </c>
      <c r="H11" s="26" t="s">
        <v>109</v>
      </c>
    </row>
    <row r="12" customFormat="false" ht="30" hidden="false" customHeight="true" outlineLevel="0" collapsed="false">
      <c r="A12" s="14" t="s">
        <v>110</v>
      </c>
      <c r="B12" s="27" t="n">
        <f aca="false">Assumptions!$B$15</f>
        <v>600000</v>
      </c>
      <c r="C12" s="27" t="n">
        <f aca="false">$B12</f>
        <v>600000</v>
      </c>
      <c r="D12" s="27" t="n">
        <f aca="false">$B12</f>
        <v>600000</v>
      </c>
      <c r="E12" s="27" t="n">
        <f aca="false">$B12</f>
        <v>600000</v>
      </c>
      <c r="F12" s="27" t="n">
        <f aca="false">$B12</f>
        <v>600000</v>
      </c>
      <c r="G12" s="27" t="n">
        <f aca="false">$B12</f>
        <v>600000</v>
      </c>
      <c r="H12" s="26" t="s">
        <v>111</v>
      </c>
    </row>
    <row r="13" customFormat="false" ht="30" hidden="false" customHeight="true" outlineLevel="0" collapsed="false">
      <c r="A13" s="14" t="s">
        <v>57</v>
      </c>
      <c r="B13" s="27" t="n">
        <f aca="false">Assumptions!$B$16</f>
        <v>900000</v>
      </c>
      <c r="C13" s="27" t="n">
        <f aca="false">$B13*(C6/$B$6)</f>
        <v>1305000</v>
      </c>
      <c r="D13" s="27" t="n">
        <f aca="false">$B13*(D6/$B$6)</f>
        <v>1892250</v>
      </c>
      <c r="E13" s="27" t="n">
        <f aca="false">$B13*(E6/$B$6)</f>
        <v>2743762.5</v>
      </c>
      <c r="F13" s="27" t="n">
        <f aca="false">$B13*(F6/$B$6)</f>
        <v>3978455.625</v>
      </c>
      <c r="G13" s="27" t="n">
        <f aca="false">$B13*(G6/$B$6)</f>
        <v>5768760.65625</v>
      </c>
      <c r="H13" s="26" t="s">
        <v>112</v>
      </c>
    </row>
    <row r="14" customFormat="false" ht="30" hidden="false" customHeight="true" outlineLevel="0" collapsed="false">
      <c r="A14" s="14" t="s">
        <v>113</v>
      </c>
      <c r="B14" s="27" t="n">
        <f aca="false">Assumptions!$B$17</f>
        <v>1500000</v>
      </c>
      <c r="C14" s="27" t="n">
        <f aca="false">$B14*(C6/$B$6)</f>
        <v>2175000</v>
      </c>
      <c r="D14" s="27" t="n">
        <f aca="false">$B14*(D6/$B$6)</f>
        <v>3153750</v>
      </c>
      <c r="E14" s="27" t="n">
        <f aca="false">$B14*(E6/$B$6)</f>
        <v>4572937.5</v>
      </c>
      <c r="F14" s="27" t="n">
        <f aca="false">$B14*(F6/$B$6)</f>
        <v>6630759.375</v>
      </c>
      <c r="G14" s="27" t="n">
        <f aca="false">$B14*(G6/$B$6)</f>
        <v>9614601.09375</v>
      </c>
      <c r="H14" s="26" t="s">
        <v>114</v>
      </c>
    </row>
    <row r="15" customFormat="false" ht="30" hidden="false" customHeight="true" outlineLevel="0" collapsed="false">
      <c r="A15" s="14" t="s">
        <v>115</v>
      </c>
      <c r="B15" s="27" t="n">
        <f aca="false">Assumptions!$B$21*Assumptions!$B$22</f>
        <v>4320000</v>
      </c>
      <c r="C15" s="27" t="n">
        <f aca="false">$B15*(C6/$B$6)</f>
        <v>6264000</v>
      </c>
      <c r="D15" s="27" t="n">
        <f aca="false">$B15*(D6/$B$6)</f>
        <v>9082800</v>
      </c>
      <c r="E15" s="27" t="n">
        <f aca="false">$B15*(E6/$B$6)</f>
        <v>13170060</v>
      </c>
      <c r="F15" s="27" t="n">
        <f aca="false">$B15*(F6/$B$6)</f>
        <v>19096587</v>
      </c>
      <c r="G15" s="27" t="n">
        <f aca="false">$B15*(G6/$B$6)</f>
        <v>27690051.15</v>
      </c>
      <c r="H15" s="26" t="s">
        <v>116</v>
      </c>
    </row>
    <row r="16" customFormat="false" ht="30" hidden="false" customHeight="true" outlineLevel="0" collapsed="false">
      <c r="A16" s="14" t="s">
        <v>117</v>
      </c>
      <c r="B16" s="27" t="n">
        <f aca="false">Assumptions!$B$23*Assumptions!$B$24</f>
        <v>1440000</v>
      </c>
      <c r="C16" s="27" t="n">
        <f aca="false">$B16</f>
        <v>1440000</v>
      </c>
      <c r="D16" s="27" t="n">
        <f aca="false">$B16</f>
        <v>1440000</v>
      </c>
      <c r="E16" s="27" t="n">
        <f aca="false">$B16</f>
        <v>1440000</v>
      </c>
      <c r="F16" s="27" t="n">
        <f aca="false">$B16</f>
        <v>1440000</v>
      </c>
      <c r="G16" s="27" t="n">
        <f aca="false">$B16</f>
        <v>1440000</v>
      </c>
      <c r="H16" s="26" t="s">
        <v>118</v>
      </c>
    </row>
    <row r="17" customFormat="false" ht="18.75" hidden="false" customHeight="true" outlineLevel="0" collapsed="false">
      <c r="A17" s="14" t="s">
        <v>119</v>
      </c>
      <c r="B17" s="28" t="n">
        <f aca="false">SUM(B11:B16)</f>
        <v>11160000</v>
      </c>
      <c r="C17" s="28" t="n">
        <f aca="false">SUM(C11:C16)</f>
        <v>15264000</v>
      </c>
      <c r="D17" s="28" t="n">
        <f aca="false">SUM(D11:D16)</f>
        <v>21214800</v>
      </c>
      <c r="E17" s="28" t="n">
        <f aca="false">SUM(E11:E16)</f>
        <v>29843460</v>
      </c>
      <c r="F17" s="28" t="n">
        <f aca="false">SUM(F11:F16)</f>
        <v>42355017</v>
      </c>
      <c r="G17" s="28" t="n">
        <f aca="false">SUM(G11:G16)</f>
        <v>60496774.65</v>
      </c>
      <c r="H17" s="26" t="s">
        <v>120</v>
      </c>
    </row>
    <row r="18" customFormat="false" ht="27.75" hidden="false" customHeight="true" outlineLevel="0" collapsed="false">
      <c r="A18" s="14" t="s">
        <v>121</v>
      </c>
      <c r="B18" s="29" t="n">
        <f aca="false">IFERROR(B17/B7,"")</f>
        <v>2.65714285714286</v>
      </c>
      <c r="C18" s="29" t="n">
        <f aca="false">IFERROR(C17/C7,"")</f>
        <v>2.5064039408867</v>
      </c>
      <c r="D18" s="29" t="n">
        <f aca="false">IFERROR(D17/D7,"")</f>
        <v>2.40244606760659</v>
      </c>
      <c r="E18" s="29" t="n">
        <f aca="false">IFERROR(E17/E7,"")</f>
        <v>2.33075098258583</v>
      </c>
      <c r="F18" s="29" t="n">
        <f aca="false">IFERROR(F17/F7,"")</f>
        <v>2.28130609636461</v>
      </c>
      <c r="G18" s="29" t="n">
        <f aca="false">IFERROR(G17/G7,"")</f>
        <v>2.24720617483274</v>
      </c>
      <c r="H18" s="26" t="s">
        <v>122</v>
      </c>
    </row>
    <row r="20" customFormat="false" ht="21.75" hidden="false" customHeight="true" outlineLevel="0" collapsed="false">
      <c r="A20" s="4" t="s">
        <v>123</v>
      </c>
      <c r="B20" s="4"/>
      <c r="C20" s="4"/>
      <c r="D20" s="4"/>
      <c r="E20" s="4"/>
      <c r="F20" s="4"/>
      <c r="G20" s="4"/>
      <c r="H20" s="4"/>
    </row>
    <row r="21" customFormat="false" ht="25.5" hidden="false" customHeight="true" outlineLevel="0" collapsed="false">
      <c r="A21" s="22" t="s">
        <v>107</v>
      </c>
      <c r="B21" s="22" t="s">
        <v>95</v>
      </c>
      <c r="C21" s="22" t="s">
        <v>96</v>
      </c>
      <c r="D21" s="22" t="s">
        <v>97</v>
      </c>
      <c r="E21" s="22" t="s">
        <v>98</v>
      </c>
      <c r="F21" s="22" t="s">
        <v>99</v>
      </c>
      <c r="G21" s="22" t="s">
        <v>100</v>
      </c>
      <c r="H21" s="22" t="s">
        <v>124</v>
      </c>
    </row>
    <row r="22" customFormat="false" ht="30" hidden="false" customHeight="true" outlineLevel="0" collapsed="false">
      <c r="A22" s="14" t="s">
        <v>52</v>
      </c>
      <c r="B22" s="27" t="n">
        <f aca="false">B11</f>
        <v>2400000</v>
      </c>
      <c r="C22" s="27" t="n">
        <f aca="false">C11*(1-Assumptions!$B$28*'Investment and Benefits'!$C$6)</f>
        <v>3201600</v>
      </c>
      <c r="D22" s="27" t="n">
        <f aca="false">D11*(1-Assumptions!$B$28*'Investment and Benefits'!$D$6)</f>
        <v>3834960</v>
      </c>
      <c r="E22" s="27" t="n">
        <f aca="false">E11*(1-Assumptions!$B$28*'Investment and Benefits'!$E$6)</f>
        <v>4390020</v>
      </c>
      <c r="F22" s="27" t="n">
        <f aca="false">F11*(1-Assumptions!$B$28*'Investment and Benefits'!$F$6)</f>
        <v>6365529</v>
      </c>
      <c r="G22" s="27" t="n">
        <f aca="false">G11*(1-Assumptions!$B$28*'Investment and Benefits'!$G$6)</f>
        <v>9230017.05</v>
      </c>
      <c r="H22" s="26" t="s">
        <v>125</v>
      </c>
    </row>
    <row r="23" customFormat="false" ht="30" hidden="false" customHeight="true" outlineLevel="0" collapsed="false">
      <c r="A23" s="14" t="s">
        <v>110</v>
      </c>
      <c r="B23" s="27" t="n">
        <f aca="false">B12</f>
        <v>600000</v>
      </c>
      <c r="C23" s="27" t="n">
        <f aca="false">C12</f>
        <v>600000</v>
      </c>
      <c r="D23" s="27" t="n">
        <f aca="false">D12</f>
        <v>600000</v>
      </c>
      <c r="E23" s="27" t="n">
        <f aca="false">E12</f>
        <v>600000</v>
      </c>
      <c r="F23" s="27" t="n">
        <f aca="false">F12</f>
        <v>600000</v>
      </c>
      <c r="G23" s="27" t="n">
        <f aca="false">G12</f>
        <v>600000</v>
      </c>
      <c r="H23" s="26" t="s">
        <v>125</v>
      </c>
    </row>
    <row r="24" customFormat="false" ht="30" hidden="false" customHeight="true" outlineLevel="0" collapsed="false">
      <c r="A24" s="14" t="s">
        <v>57</v>
      </c>
      <c r="B24" s="27" t="n">
        <f aca="false">B13</f>
        <v>900000</v>
      </c>
      <c r="C24" s="27" t="n">
        <f aca="false">C13*(1-Assumptions!$B$30*'Investment and Benefits'!$C$6)</f>
        <v>1213650</v>
      </c>
      <c r="D24" s="27" t="n">
        <f aca="false">D13*(1-Assumptions!$B$30*'Investment and Benefits'!$D$6)</f>
        <v>1494877.5</v>
      </c>
      <c r="E24" s="27" t="n">
        <f aca="false">E13*(1-Assumptions!$B$30*'Investment and Benefits'!$E$6)</f>
        <v>1783445.625</v>
      </c>
      <c r="F24" s="27" t="n">
        <f aca="false">F13*(1-Assumptions!$B$30*'Investment and Benefits'!$F$6)</f>
        <v>2585996.15625</v>
      </c>
      <c r="G24" s="27" t="n">
        <f aca="false">G13*(1-Assumptions!$B$30*'Investment and Benefits'!$G$6)</f>
        <v>3749694.4265625</v>
      </c>
      <c r="H24" s="26" t="s">
        <v>125</v>
      </c>
    </row>
    <row r="25" customFormat="false" ht="30" hidden="false" customHeight="true" outlineLevel="0" collapsed="false">
      <c r="A25" s="14" t="s">
        <v>113</v>
      </c>
      <c r="B25" s="27" t="n">
        <f aca="false">B14</f>
        <v>1500000</v>
      </c>
      <c r="C25" s="27" t="n">
        <f aca="false">C14*(1-Assumptions!$B$29*'Investment and Benefits'!$C$6)</f>
        <v>1935750</v>
      </c>
      <c r="D25" s="27" t="n">
        <f aca="false">D14*(1-Assumptions!$B$29*'Investment and Benefits'!$D$6)</f>
        <v>2113012.5</v>
      </c>
      <c r="E25" s="27" t="n">
        <f aca="false">E14*(1-Assumptions!$B$29*'Investment and Benefits'!$E$6)</f>
        <v>2057821.875</v>
      </c>
      <c r="F25" s="27" t="n">
        <f aca="false">F14*(1-Assumptions!$B$29*'Investment and Benefits'!$F$6)</f>
        <v>2983841.71875</v>
      </c>
      <c r="G25" s="27" t="n">
        <f aca="false">G14*(1-Assumptions!$B$29*'Investment and Benefits'!$G$6)</f>
        <v>4326570.4921875</v>
      </c>
      <c r="H25" s="26" t="s">
        <v>125</v>
      </c>
    </row>
    <row r="26" customFormat="false" ht="30" hidden="false" customHeight="true" outlineLevel="0" collapsed="false">
      <c r="A26" s="14" t="s">
        <v>115</v>
      </c>
      <c r="B26" s="27" t="n">
        <f aca="false">B15</f>
        <v>4320000</v>
      </c>
      <c r="C26" s="27" t="n">
        <f aca="false">C15*(1-Assumptions!$B$31*'Investment and Benefits'!$C$6)</f>
        <v>5512320</v>
      </c>
      <c r="D26" s="27" t="n">
        <f aca="false">D15*(1-Assumptions!$B$31*'Investment and Benefits'!$D$6)</f>
        <v>5812992</v>
      </c>
      <c r="E26" s="27" t="n">
        <f aca="false">E15*(1-Assumptions!$B$31*'Investment and Benefits'!$E$6)</f>
        <v>5268024</v>
      </c>
      <c r="F26" s="27" t="n">
        <f aca="false">F15*(1-Assumptions!$B$31*'Investment and Benefits'!$F$6)</f>
        <v>7638634.8</v>
      </c>
      <c r="G26" s="27" t="n">
        <f aca="false">G15*(1-Assumptions!$B$31*'Investment and Benefits'!$G$6)</f>
        <v>11076020.46</v>
      </c>
      <c r="H26" s="26" t="s">
        <v>125</v>
      </c>
    </row>
    <row r="27" customFormat="false" ht="30" hidden="false" customHeight="true" outlineLevel="0" collapsed="false">
      <c r="A27" s="14" t="s">
        <v>117</v>
      </c>
      <c r="B27" s="27" t="n">
        <f aca="false">B16</f>
        <v>1440000</v>
      </c>
      <c r="C27" s="27" t="n">
        <f aca="false">C16*(1-Assumptions!$B$32*'Investment and Benefits'!$C$6)</f>
        <v>1296000</v>
      </c>
      <c r="D27" s="27" t="n">
        <f aca="false">D16*(1-Assumptions!$B$32*'Investment and Benefits'!$D$6)</f>
        <v>1008000</v>
      </c>
      <c r="E27" s="27" t="n">
        <f aca="false">E16*(1-Assumptions!$B$32*'Investment and Benefits'!$E$6)</f>
        <v>720000</v>
      </c>
      <c r="F27" s="27" t="n">
        <f aca="false">F16*(1-Assumptions!$B$32*'Investment and Benefits'!$F$6)</f>
        <v>720000</v>
      </c>
      <c r="G27" s="27" t="n">
        <f aca="false">G16*(1-Assumptions!$B$32*'Investment and Benefits'!$G$6)</f>
        <v>720000</v>
      </c>
      <c r="H27" s="26" t="s">
        <v>125</v>
      </c>
    </row>
    <row r="28" customFormat="false" ht="15" hidden="false" customHeight="true" outlineLevel="0" collapsed="false">
      <c r="A28" s="14" t="s">
        <v>126</v>
      </c>
      <c r="B28" s="27" t="n">
        <v>0</v>
      </c>
      <c r="C28" s="27" t="n">
        <f aca="false">'Investment and Benefits'!$C$16</f>
        <v>6800000</v>
      </c>
      <c r="D28" s="27" t="n">
        <f aca="false">'Investment and Benefits'!$D$16</f>
        <v>3500000</v>
      </c>
      <c r="E28" s="27" t="n">
        <f aca="false">'Investment and Benefits'!$E$16</f>
        <v>2800000</v>
      </c>
      <c r="F28" s="27" t="n">
        <f aca="false">'Investment and Benefits'!$F$16</f>
        <v>700000</v>
      </c>
      <c r="G28" s="27" t="n">
        <f aca="false">'Investment and Benefits'!$G$16</f>
        <v>700000</v>
      </c>
      <c r="H28" s="26" t="s">
        <v>127</v>
      </c>
    </row>
    <row r="29" customFormat="false" ht="15" hidden="false" customHeight="true" outlineLevel="0" collapsed="false">
      <c r="A29" s="14" t="s">
        <v>128</v>
      </c>
      <c r="B29" s="28" t="n">
        <f aca="false">SUM(B22:B27)+B28</f>
        <v>11160000</v>
      </c>
      <c r="C29" s="28" t="n">
        <f aca="false">SUM(C22:C27)+C28</f>
        <v>20559320</v>
      </c>
      <c r="D29" s="28" t="n">
        <f aca="false">SUM(D22:D27)+D28</f>
        <v>18363842</v>
      </c>
      <c r="E29" s="28" t="n">
        <f aca="false">SUM(E22:E27)+E28</f>
        <v>17619311.5</v>
      </c>
      <c r="F29" s="28" t="n">
        <f aca="false">SUM(F22:F27)+F28</f>
        <v>21594001.675</v>
      </c>
      <c r="G29" s="28" t="n">
        <f aca="false">SUM(G22:G27)+G28</f>
        <v>30402302.42875</v>
      </c>
    </row>
    <row r="30" customFormat="false" ht="15" hidden="false" customHeight="true" outlineLevel="0" collapsed="false">
      <c r="A30" s="14" t="s">
        <v>129</v>
      </c>
      <c r="B30" s="30" t="n">
        <f aca="false">IFERROR(B29/B7,"")</f>
        <v>2.65714285714286</v>
      </c>
      <c r="C30" s="30" t="n">
        <f aca="false">IFERROR(C29/C7,"")</f>
        <v>3.37591461412151</v>
      </c>
      <c r="D30" s="30" t="n">
        <f aca="false">IFERROR(D29/D7,"")</f>
        <v>2.07959254855331</v>
      </c>
      <c r="E30" s="30" t="n">
        <f aca="false">IFERROR(E29/E7,"")</f>
        <v>1.37605450544644</v>
      </c>
      <c r="F30" s="30" t="n">
        <f aca="false">IFERROR(F29/F7,"")</f>
        <v>1.16308600858512</v>
      </c>
      <c r="G30" s="30" t="n">
        <f aca="false">IFERROR(G29/G7,"")</f>
        <v>1.12932040000945</v>
      </c>
    </row>
    <row r="31" customFormat="false" ht="18.75" hidden="false" customHeight="true" outlineLevel="0" collapsed="false">
      <c r="A31" s="14" t="s">
        <v>130</v>
      </c>
      <c r="B31" s="31" t="n">
        <f aca="false">IFERROR((B18-B30)/B18,"")</f>
        <v>0</v>
      </c>
      <c r="C31" s="31" t="n">
        <f aca="false">IFERROR((C18-C30)/C18,"")</f>
        <v>-0.346915618448637</v>
      </c>
      <c r="D31" s="31" t="n">
        <f aca="false">IFERROR((D18-D30)/D18,"")</f>
        <v>0.134385334766295</v>
      </c>
      <c r="E31" s="31" t="n">
        <f aca="false">IFERROR((E18-E30)/E18,"")</f>
        <v>0.409608956200119</v>
      </c>
      <c r="F31" s="31" t="n">
        <f aca="false">IFERROR((F18-F30)/F18,"")</f>
        <v>0.490166615326822</v>
      </c>
      <c r="G31" s="31" t="n">
        <f aca="false">IFERROR((G18-G30)/G18,"")</f>
        <v>0.497455813063747</v>
      </c>
      <c r="H31" s="26" t="s">
        <v>131</v>
      </c>
    </row>
    <row r="33" customFormat="false" ht="30" hidden="false" customHeight="true" outlineLevel="0" collapsed="false">
      <c r="A33" s="24" t="s">
        <v>132</v>
      </c>
      <c r="B33" s="24"/>
      <c r="C33" s="24"/>
      <c r="D33" s="24"/>
      <c r="E33" s="24"/>
      <c r="F33" s="24"/>
      <c r="G33" s="24"/>
      <c r="H33" s="24"/>
    </row>
    <row r="34" customFormat="false" ht="15" hidden="false" customHeight="true" outlineLevel="0" collapsed="false">
      <c r="A34" s="11" t="s">
        <v>30</v>
      </c>
      <c r="B34" s="11"/>
      <c r="C34" s="11"/>
      <c r="D34" s="11"/>
      <c r="E34" s="11"/>
      <c r="F34" s="11"/>
      <c r="G34" s="11"/>
      <c r="H34" s="11"/>
    </row>
    <row r="35" customFormat="false" ht="15" hidden="false" customHeight="true" outlineLevel="0" collapsed="false">
      <c r="A35" s="11"/>
      <c r="B35" s="11"/>
      <c r="C35" s="11"/>
      <c r="D35" s="11"/>
      <c r="E35" s="11"/>
      <c r="F35" s="11"/>
      <c r="G35" s="11"/>
      <c r="H35" s="11"/>
    </row>
  </sheetData>
  <mergeCells count="7">
    <mergeCell ref="A1:H1"/>
    <mergeCell ref="A2:H2"/>
    <mergeCell ref="A4:H4"/>
    <mergeCell ref="A9:H9"/>
    <mergeCell ref="A20:H20"/>
    <mergeCell ref="A33:H33"/>
    <mergeCell ref="A34:H35"/>
  </mergeCells>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59669"/>
    <pageSetUpPr fitToPage="true"/>
  </sheetPr>
  <dimension ref="A1:H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3" topLeftCell="A3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7" min="2" style="1" width="16"/>
    <col collapsed="false" customWidth="true" hidden="false" outlineLevel="0" max="8" min="8" style="1" width="30"/>
  </cols>
  <sheetData>
    <row r="1" customFormat="false" ht="30" hidden="false" customHeight="true" outlineLevel="0" collapsed="false">
      <c r="A1" s="32" t="s">
        <v>133</v>
      </c>
      <c r="B1" s="32"/>
      <c r="C1" s="32"/>
      <c r="D1" s="32"/>
      <c r="E1" s="32"/>
      <c r="F1" s="32"/>
      <c r="G1" s="32"/>
      <c r="H1" s="32"/>
    </row>
    <row r="2" customFormat="false" ht="25.5" hidden="false" customHeight="true" outlineLevel="0" collapsed="false">
      <c r="A2" s="3" t="s">
        <v>134</v>
      </c>
      <c r="B2" s="3"/>
      <c r="C2" s="3"/>
      <c r="D2" s="3"/>
      <c r="E2" s="3"/>
      <c r="F2" s="3"/>
      <c r="G2" s="3"/>
      <c r="H2" s="3"/>
    </row>
    <row r="4" customFormat="false" ht="21.75" hidden="false" customHeight="true" outlineLevel="0" collapsed="false">
      <c r="A4" s="4" t="s">
        <v>135</v>
      </c>
      <c r="B4" s="4"/>
      <c r="C4" s="4"/>
      <c r="D4" s="4"/>
      <c r="E4" s="4"/>
      <c r="F4" s="4"/>
      <c r="G4" s="4"/>
      <c r="H4" s="4"/>
    </row>
    <row r="5" customFormat="false" ht="24" hidden="false" customHeight="true" outlineLevel="0" collapsed="false">
      <c r="A5" s="13" t="s">
        <v>94</v>
      </c>
      <c r="B5" s="13"/>
      <c r="C5" s="13" t="s">
        <v>96</v>
      </c>
      <c r="D5" s="13" t="s">
        <v>97</v>
      </c>
      <c r="E5" s="13" t="s">
        <v>98</v>
      </c>
      <c r="F5" s="13" t="s">
        <v>99</v>
      </c>
      <c r="G5" s="13" t="s">
        <v>100</v>
      </c>
      <c r="H5" s="13" t="s">
        <v>124</v>
      </c>
    </row>
    <row r="6" customFormat="false" ht="27.75" hidden="false" customHeight="true" outlineLevel="0" collapsed="false">
      <c r="A6" s="14" t="s">
        <v>136</v>
      </c>
      <c r="B6" s="33"/>
      <c r="C6" s="19" t="n">
        <v>0.2</v>
      </c>
      <c r="D6" s="19" t="n">
        <v>0.6</v>
      </c>
      <c r="E6" s="19" t="n">
        <v>1</v>
      </c>
      <c r="F6" s="19" t="n">
        <v>1</v>
      </c>
      <c r="G6" s="19" t="n">
        <v>1</v>
      </c>
      <c r="H6" s="26" t="s">
        <v>137</v>
      </c>
    </row>
    <row r="7" customFormat="false" ht="18.75" hidden="false" customHeight="true" outlineLevel="0" collapsed="false">
      <c r="A7" s="14" t="s">
        <v>138</v>
      </c>
      <c r="B7" s="33"/>
      <c r="C7" s="34" t="n">
        <f aca="false">1/(1+Assumptions!$B$36)^1</f>
        <v>0.91743119266055</v>
      </c>
      <c r="D7" s="34" t="n">
        <f aca="false">1/(1+Assumptions!$B$36)^2</f>
        <v>0.84167999326656</v>
      </c>
      <c r="E7" s="34" t="n">
        <f aca="false">1/(1+Assumptions!$B$36)^3</f>
        <v>0.772183480061064</v>
      </c>
      <c r="F7" s="34" t="n">
        <f aca="false">1/(1+Assumptions!$B$36)^4</f>
        <v>0.708425211065196</v>
      </c>
      <c r="G7" s="34" t="n">
        <f aca="false">1/(1+Assumptions!$B$36)^5</f>
        <v>0.649931386298345</v>
      </c>
      <c r="H7" s="26" t="s">
        <v>139</v>
      </c>
    </row>
    <row r="9" customFormat="false" ht="21.75" hidden="false" customHeight="true" outlineLevel="0" collapsed="false">
      <c r="A9" s="4" t="s">
        <v>140</v>
      </c>
      <c r="B9" s="4"/>
      <c r="C9" s="4"/>
      <c r="D9" s="4"/>
      <c r="E9" s="4"/>
      <c r="F9" s="4"/>
      <c r="G9" s="4"/>
      <c r="H9" s="4"/>
    </row>
    <row r="10" customFormat="false" ht="24" hidden="false" customHeight="true" outlineLevel="0" collapsed="false">
      <c r="A10" s="21" t="s">
        <v>141</v>
      </c>
      <c r="B10" s="21"/>
      <c r="C10" s="21" t="s">
        <v>96</v>
      </c>
      <c r="D10" s="21" t="s">
        <v>97</v>
      </c>
      <c r="E10" s="21" t="s">
        <v>98</v>
      </c>
      <c r="F10" s="21" t="s">
        <v>99</v>
      </c>
      <c r="G10" s="21" t="s">
        <v>100</v>
      </c>
      <c r="H10" s="21" t="s">
        <v>142</v>
      </c>
    </row>
    <row r="11" customFormat="false" ht="31.5" hidden="false" customHeight="true" outlineLevel="0" collapsed="false">
      <c r="A11" s="14" t="s">
        <v>143</v>
      </c>
      <c r="B11" s="33"/>
      <c r="C11" s="20" t="n">
        <v>1200000</v>
      </c>
      <c r="D11" s="20" t="n">
        <v>400000</v>
      </c>
      <c r="E11" s="20" t="n">
        <v>300000</v>
      </c>
      <c r="F11" s="27" t="n">
        <f aca="false">$E11*Assumptions!$B$37</f>
        <v>75000</v>
      </c>
      <c r="G11" s="27" t="n">
        <f aca="false">$E11*Assumptions!$B$37</f>
        <v>75000</v>
      </c>
      <c r="H11" s="26" t="s">
        <v>144</v>
      </c>
    </row>
    <row r="12" customFormat="false" ht="31.5" hidden="false" customHeight="true" outlineLevel="0" collapsed="false">
      <c r="A12" s="14" t="s">
        <v>145</v>
      </c>
      <c r="B12" s="33"/>
      <c r="C12" s="20" t="n">
        <v>2500000</v>
      </c>
      <c r="D12" s="20" t="n">
        <v>1200000</v>
      </c>
      <c r="E12" s="20" t="n">
        <v>1000000</v>
      </c>
      <c r="F12" s="27" t="n">
        <f aca="false">$E12*Assumptions!$B$37</f>
        <v>250000</v>
      </c>
      <c r="G12" s="27" t="n">
        <f aca="false">$E12*Assumptions!$B$37</f>
        <v>250000</v>
      </c>
      <c r="H12" s="26" t="s">
        <v>146</v>
      </c>
    </row>
    <row r="13" customFormat="false" ht="31.5" hidden="false" customHeight="true" outlineLevel="0" collapsed="false">
      <c r="A13" s="14" t="s">
        <v>147</v>
      </c>
      <c r="B13" s="33"/>
      <c r="C13" s="20" t="n">
        <v>1400000</v>
      </c>
      <c r="D13" s="20" t="n">
        <v>600000</v>
      </c>
      <c r="E13" s="20" t="n">
        <v>400000</v>
      </c>
      <c r="F13" s="27" t="n">
        <f aca="false">$E13*Assumptions!$B$37</f>
        <v>100000</v>
      </c>
      <c r="G13" s="27" t="n">
        <f aca="false">$E13*Assumptions!$B$37</f>
        <v>100000</v>
      </c>
      <c r="H13" s="26" t="s">
        <v>148</v>
      </c>
    </row>
    <row r="14" customFormat="false" ht="31.5" hidden="false" customHeight="true" outlineLevel="0" collapsed="false">
      <c r="A14" s="14" t="s">
        <v>149</v>
      </c>
      <c r="B14" s="33"/>
      <c r="C14" s="20" t="n">
        <v>900000</v>
      </c>
      <c r="D14" s="20" t="n">
        <v>700000</v>
      </c>
      <c r="E14" s="20" t="n">
        <v>600000</v>
      </c>
      <c r="F14" s="27" t="n">
        <f aca="false">$E14*Assumptions!$B$37</f>
        <v>150000</v>
      </c>
      <c r="G14" s="27" t="n">
        <f aca="false">$E14*Assumptions!$B$37</f>
        <v>150000</v>
      </c>
      <c r="H14" s="26" t="s">
        <v>150</v>
      </c>
    </row>
    <row r="15" customFormat="false" ht="31.5" hidden="false" customHeight="true" outlineLevel="0" collapsed="false">
      <c r="A15" s="14" t="s">
        <v>151</v>
      </c>
      <c r="B15" s="33"/>
      <c r="C15" s="20" t="n">
        <v>800000</v>
      </c>
      <c r="D15" s="20" t="n">
        <v>600000</v>
      </c>
      <c r="E15" s="20" t="n">
        <v>500000</v>
      </c>
      <c r="F15" s="27" t="n">
        <f aca="false">$E15*Assumptions!$B$37</f>
        <v>125000</v>
      </c>
      <c r="G15" s="27" t="n">
        <f aca="false">$E15*Assumptions!$B$37</f>
        <v>125000</v>
      </c>
      <c r="H15" s="26" t="s">
        <v>152</v>
      </c>
    </row>
    <row r="16" customFormat="false" ht="15" hidden="false" customHeight="true" outlineLevel="0" collapsed="false">
      <c r="A16" s="14" t="s">
        <v>153</v>
      </c>
      <c r="B16" s="33"/>
      <c r="C16" s="35" t="n">
        <f aca="false">SUM(C11:C15)</f>
        <v>6800000</v>
      </c>
      <c r="D16" s="35" t="n">
        <f aca="false">SUM(D11:D15)</f>
        <v>3500000</v>
      </c>
      <c r="E16" s="35" t="n">
        <f aca="false">SUM(E11:E15)</f>
        <v>2800000</v>
      </c>
      <c r="F16" s="35" t="n">
        <f aca="false">SUM(F11:F15)</f>
        <v>700000</v>
      </c>
      <c r="G16" s="35" t="n">
        <f aca="false">SUM(G11:G15)</f>
        <v>700000</v>
      </c>
    </row>
    <row r="17" customFormat="false" ht="15" hidden="false" customHeight="true" outlineLevel="0" collapsed="false">
      <c r="A17" s="14" t="s">
        <v>154</v>
      </c>
      <c r="B17" s="33"/>
      <c r="C17" s="27" t="n">
        <f aca="false">C16</f>
        <v>6800000</v>
      </c>
      <c r="D17" s="27" t="n">
        <f aca="false">C17+D16</f>
        <v>10300000</v>
      </c>
      <c r="E17" s="27" t="n">
        <f aca="false">D17+E16</f>
        <v>13100000</v>
      </c>
      <c r="F17" s="27" t="n">
        <f aca="false">E17+F16</f>
        <v>13800000</v>
      </c>
      <c r="G17" s="27" t="n">
        <f aca="false">F17+G16</f>
        <v>14500000</v>
      </c>
    </row>
    <row r="19" customFormat="false" ht="21.75" hidden="false" customHeight="true" outlineLevel="0" collapsed="false">
      <c r="A19" s="4" t="s">
        <v>155</v>
      </c>
      <c r="B19" s="4"/>
      <c r="C19" s="4"/>
      <c r="D19" s="4"/>
      <c r="E19" s="4"/>
      <c r="F19" s="4"/>
      <c r="G19" s="4"/>
      <c r="H19" s="4"/>
    </row>
    <row r="20" customFormat="false" ht="24" hidden="false" customHeight="true" outlineLevel="0" collapsed="false">
      <c r="A20" s="22" t="s">
        <v>156</v>
      </c>
      <c r="B20" s="22" t="s">
        <v>157</v>
      </c>
      <c r="C20" s="22" t="s">
        <v>96</v>
      </c>
      <c r="D20" s="22" t="s">
        <v>97</v>
      </c>
      <c r="E20" s="22" t="s">
        <v>98</v>
      </c>
      <c r="F20" s="22" t="s">
        <v>99</v>
      </c>
      <c r="G20" s="22" t="s">
        <v>100</v>
      </c>
      <c r="H20" s="22" t="s">
        <v>158</v>
      </c>
    </row>
    <row r="21" customFormat="false" ht="27.75" hidden="false" customHeight="true" outlineLevel="0" collapsed="false">
      <c r="A21" s="14" t="s">
        <v>159</v>
      </c>
      <c r="B21" s="27" t="n">
        <f aca="false">Assumptions!$B$14*Assumptions!$B$28</f>
        <v>960000</v>
      </c>
      <c r="C21" s="27" t="n">
        <f aca="false">$B21*C$6</f>
        <v>192000</v>
      </c>
      <c r="D21" s="27" t="n">
        <f aca="false">$B21*D$6</f>
        <v>576000</v>
      </c>
      <c r="E21" s="27" t="n">
        <f aca="false">$B21*E$6</f>
        <v>960000</v>
      </c>
      <c r="F21" s="27" t="n">
        <f aca="false">$B21*F$6</f>
        <v>960000</v>
      </c>
      <c r="G21" s="27" t="n">
        <f aca="false">$B21*G$6</f>
        <v>960000</v>
      </c>
      <c r="H21" s="26" t="s">
        <v>160</v>
      </c>
    </row>
    <row r="22" customFormat="false" ht="27.75" hidden="false" customHeight="true" outlineLevel="0" collapsed="false">
      <c r="A22" s="14" t="s">
        <v>161</v>
      </c>
      <c r="B22" s="27" t="n">
        <f aca="false">Assumptions!$B$17*Assumptions!$B$29</f>
        <v>825000</v>
      </c>
      <c r="C22" s="27" t="n">
        <f aca="false">$B22*C$6</f>
        <v>165000</v>
      </c>
      <c r="D22" s="27" t="n">
        <f aca="false">$B22*D$6</f>
        <v>495000</v>
      </c>
      <c r="E22" s="27" t="n">
        <f aca="false">$B22*E$6</f>
        <v>825000</v>
      </c>
      <c r="F22" s="27" t="n">
        <f aca="false">$B22*F$6</f>
        <v>825000</v>
      </c>
      <c r="G22" s="27" t="n">
        <f aca="false">$B22*G$6</f>
        <v>825000</v>
      </c>
      <c r="H22" s="26" t="s">
        <v>162</v>
      </c>
    </row>
    <row r="23" customFormat="false" ht="27.75" hidden="false" customHeight="true" outlineLevel="0" collapsed="false">
      <c r="A23" s="14" t="s">
        <v>163</v>
      </c>
      <c r="B23" s="27" t="n">
        <f aca="false">Assumptions!$B$16*Assumptions!$B$30</f>
        <v>315000</v>
      </c>
      <c r="C23" s="27" t="n">
        <f aca="false">$B23*C$6</f>
        <v>63000</v>
      </c>
      <c r="D23" s="27" t="n">
        <f aca="false">$B23*D$6</f>
        <v>189000</v>
      </c>
      <c r="E23" s="27" t="n">
        <f aca="false">$B23*E$6</f>
        <v>315000</v>
      </c>
      <c r="F23" s="27" t="n">
        <f aca="false">$B23*F$6</f>
        <v>315000</v>
      </c>
      <c r="G23" s="27" t="n">
        <f aca="false">$B23*G$6</f>
        <v>315000</v>
      </c>
      <c r="H23" s="26" t="s">
        <v>164</v>
      </c>
    </row>
    <row r="24" customFormat="false" ht="15" hidden="false" customHeight="true" outlineLevel="0" collapsed="false">
      <c r="A24" s="14" t="s">
        <v>165</v>
      </c>
      <c r="B24" s="36" t="n">
        <f aca="false">SUM(B21:B23)</f>
        <v>2100000</v>
      </c>
      <c r="C24" s="37" t="n">
        <f aca="false">SUM(C21:C23)</f>
        <v>420000</v>
      </c>
      <c r="D24" s="37" t="n">
        <f aca="false">SUM(D21:D23)</f>
        <v>1260000</v>
      </c>
      <c r="E24" s="37" t="n">
        <f aca="false">SUM(E21:E23)</f>
        <v>2100000</v>
      </c>
      <c r="F24" s="37" t="n">
        <f aca="false">SUM(F21:F23)</f>
        <v>2100000</v>
      </c>
      <c r="G24" s="37" t="n">
        <f aca="false">SUM(G21:G23)</f>
        <v>2100000</v>
      </c>
    </row>
    <row r="26" customFormat="false" ht="21.75" hidden="false" customHeight="true" outlineLevel="0" collapsed="false">
      <c r="A26" s="4" t="s">
        <v>166</v>
      </c>
      <c r="B26" s="4"/>
      <c r="C26" s="4"/>
      <c r="D26" s="4"/>
      <c r="E26" s="4"/>
      <c r="F26" s="4"/>
      <c r="G26" s="4"/>
      <c r="H26" s="4"/>
    </row>
    <row r="27" customFormat="false" ht="24" hidden="false" customHeight="true" outlineLevel="0" collapsed="false">
      <c r="A27" s="38" t="s">
        <v>156</v>
      </c>
      <c r="B27" s="38" t="s">
        <v>157</v>
      </c>
      <c r="C27" s="38" t="s">
        <v>96</v>
      </c>
      <c r="D27" s="38" t="s">
        <v>97</v>
      </c>
      <c r="E27" s="38" t="s">
        <v>98</v>
      </c>
      <c r="F27" s="38" t="s">
        <v>99</v>
      </c>
      <c r="G27" s="38" t="s">
        <v>100</v>
      </c>
      <c r="H27" s="38" t="s">
        <v>158</v>
      </c>
    </row>
    <row r="28" customFormat="false" ht="27.75" hidden="false" customHeight="true" outlineLevel="0" collapsed="false">
      <c r="A28" s="14" t="s">
        <v>167</v>
      </c>
      <c r="B28" s="27" t="n">
        <f aca="false">Assumptions!$B$21*Assumptions!$B$22*Assumptions!$B$31</f>
        <v>2592000</v>
      </c>
      <c r="C28" s="27" t="n">
        <f aca="false">$B28*C$6</f>
        <v>518400</v>
      </c>
      <c r="D28" s="27" t="n">
        <f aca="false">$B28*D$6</f>
        <v>1555200</v>
      </c>
      <c r="E28" s="27" t="n">
        <f aca="false">$B28*E$6</f>
        <v>2592000</v>
      </c>
      <c r="F28" s="27" t="n">
        <f aca="false">$B28*F$6</f>
        <v>2592000</v>
      </c>
      <c r="G28" s="27" t="n">
        <f aca="false">$B28*G$6</f>
        <v>2592000</v>
      </c>
      <c r="H28" s="26" t="s">
        <v>168</v>
      </c>
    </row>
    <row r="29" customFormat="false" ht="27.75" hidden="false" customHeight="true" outlineLevel="0" collapsed="false">
      <c r="A29" s="14" t="s">
        <v>169</v>
      </c>
      <c r="B29" s="27" t="n">
        <f aca="false">Assumptions!$B$23*Assumptions!$B$24*Assumptions!$B$32</f>
        <v>720000</v>
      </c>
      <c r="C29" s="27" t="n">
        <f aca="false">$B29*C$6</f>
        <v>144000</v>
      </c>
      <c r="D29" s="27" t="n">
        <f aca="false">$B29*D$6</f>
        <v>432000</v>
      </c>
      <c r="E29" s="27" t="n">
        <f aca="false">$B29*E$6</f>
        <v>720000</v>
      </c>
      <c r="F29" s="27" t="n">
        <f aca="false">$B29*F$6</f>
        <v>720000</v>
      </c>
      <c r="G29" s="27" t="n">
        <f aca="false">$B29*G$6</f>
        <v>720000</v>
      </c>
      <c r="H29" s="26" t="s">
        <v>170</v>
      </c>
    </row>
    <row r="30" customFormat="false" ht="15" hidden="false" customHeight="true" outlineLevel="0" collapsed="false">
      <c r="A30" s="14" t="s">
        <v>171</v>
      </c>
      <c r="B30" s="36" t="n">
        <f aca="false">SUM(B28:B29)</f>
        <v>3312000</v>
      </c>
      <c r="C30" s="36" t="n">
        <f aca="false">SUM(C28:C29)</f>
        <v>662400</v>
      </c>
      <c r="D30" s="36" t="n">
        <f aca="false">SUM(D28:D29)</f>
        <v>1987200</v>
      </c>
      <c r="E30" s="36" t="n">
        <f aca="false">SUM(E28:E29)</f>
        <v>3312000</v>
      </c>
      <c r="F30" s="36" t="n">
        <f aca="false">SUM(F28:F29)</f>
        <v>3312000</v>
      </c>
      <c r="G30" s="36" t="n">
        <f aca="false">SUM(G28:G29)</f>
        <v>3312000</v>
      </c>
    </row>
    <row r="32" customFormat="false" ht="21.75" hidden="false" customHeight="true" outlineLevel="0" collapsed="false">
      <c r="A32" s="4" t="s">
        <v>172</v>
      </c>
      <c r="B32" s="4"/>
      <c r="C32" s="4"/>
      <c r="D32" s="4"/>
      <c r="E32" s="4"/>
      <c r="F32" s="4"/>
      <c r="G32" s="4"/>
      <c r="H32" s="4"/>
    </row>
    <row r="33" customFormat="false" ht="24" hidden="false" customHeight="true" outlineLevel="0" collapsed="false">
      <c r="A33" s="13" t="s">
        <v>94</v>
      </c>
      <c r="B33" s="13" t="s">
        <v>173</v>
      </c>
      <c r="C33" s="13" t="s">
        <v>96</v>
      </c>
      <c r="D33" s="13" t="s">
        <v>97</v>
      </c>
      <c r="E33" s="13" t="s">
        <v>98</v>
      </c>
      <c r="F33" s="13" t="s">
        <v>99</v>
      </c>
      <c r="G33" s="13" t="s">
        <v>100</v>
      </c>
      <c r="H33" s="13" t="s">
        <v>124</v>
      </c>
    </row>
    <row r="34" customFormat="false" ht="15" hidden="false" customHeight="true" outlineLevel="0" collapsed="false">
      <c r="A34" s="14" t="s">
        <v>174</v>
      </c>
      <c r="B34" s="36" t="n">
        <f aca="false">SUM(C34:G34)</f>
        <v>20565600</v>
      </c>
      <c r="C34" s="27" t="n">
        <f aca="false">C24+C30</f>
        <v>1082400</v>
      </c>
      <c r="D34" s="27" t="n">
        <f aca="false">D24+D30</f>
        <v>3247200</v>
      </c>
      <c r="E34" s="27" t="n">
        <f aca="false">E24+E30</f>
        <v>5412000</v>
      </c>
      <c r="F34" s="27" t="n">
        <f aca="false">F24+F30</f>
        <v>5412000</v>
      </c>
      <c r="G34" s="27" t="n">
        <f aca="false">G24+G30</f>
        <v>5412000</v>
      </c>
      <c r="H34" s="26" t="s">
        <v>175</v>
      </c>
    </row>
    <row r="35" customFormat="false" ht="18.75" hidden="false" customHeight="true" outlineLevel="0" collapsed="false">
      <c r="A35" s="14" t="s">
        <v>176</v>
      </c>
      <c r="B35" s="36" t="n">
        <f aca="false">SUM(C35:G35)</f>
        <v>-6520000</v>
      </c>
      <c r="C35" s="27" t="n">
        <f aca="false">C24-C16</f>
        <v>-6380000</v>
      </c>
      <c r="D35" s="27" t="n">
        <f aca="false">D24-D16</f>
        <v>-2240000</v>
      </c>
      <c r="E35" s="27" t="n">
        <f aca="false">E24-E16</f>
        <v>-700000</v>
      </c>
      <c r="F35" s="27" t="n">
        <f aca="false">F24-F16</f>
        <v>1400000</v>
      </c>
      <c r="G35" s="27" t="n">
        <f aca="false">G24-G16</f>
        <v>1400000</v>
      </c>
      <c r="H35" s="26" t="s">
        <v>177</v>
      </c>
    </row>
    <row r="36" customFormat="false" ht="18.75" hidden="false" customHeight="true" outlineLevel="0" collapsed="false">
      <c r="A36" s="14" t="s">
        <v>178</v>
      </c>
      <c r="B36" s="36" t="n">
        <f aca="false">SUM(C36:G36)</f>
        <v>6065600</v>
      </c>
      <c r="C36" s="36" t="n">
        <f aca="false">C34-C16</f>
        <v>-5717600</v>
      </c>
      <c r="D36" s="36" t="n">
        <f aca="false">D34-D16</f>
        <v>-252800</v>
      </c>
      <c r="E36" s="36" t="n">
        <f aca="false">E34-E16</f>
        <v>2612000</v>
      </c>
      <c r="F36" s="36" t="n">
        <f aca="false">F34-F16</f>
        <v>4712000</v>
      </c>
      <c r="G36" s="36" t="n">
        <f aca="false">G34-G16</f>
        <v>4712000</v>
      </c>
      <c r="H36" s="26" t="s">
        <v>179</v>
      </c>
    </row>
    <row r="37" customFormat="false" ht="15" hidden="false" customHeight="true" outlineLevel="0" collapsed="false">
      <c r="A37" s="14" t="s">
        <v>180</v>
      </c>
      <c r="B37" s="33"/>
      <c r="C37" s="27" t="n">
        <f aca="false">C36</f>
        <v>-5717600</v>
      </c>
      <c r="D37" s="27" t="n">
        <f aca="false">C37+D36</f>
        <v>-5970400</v>
      </c>
      <c r="E37" s="27" t="n">
        <f aca="false">D37+E36</f>
        <v>-3358400</v>
      </c>
      <c r="F37" s="27" t="n">
        <f aca="false">E37+F36</f>
        <v>1353600</v>
      </c>
      <c r="G37" s="27" t="n">
        <f aca="false">F37+G36</f>
        <v>6065600</v>
      </c>
    </row>
    <row r="38" customFormat="false" ht="15" hidden="false" customHeight="true" outlineLevel="0" collapsed="false">
      <c r="A38" s="14" t="s">
        <v>181</v>
      </c>
      <c r="B38" s="36" t="n">
        <f aca="false">SUM(C38:G38)</f>
        <v>2959238.24724276</v>
      </c>
      <c r="C38" s="27" t="n">
        <f aca="false">C36*C$7</f>
        <v>-5245504.58715596</v>
      </c>
      <c r="D38" s="27" t="n">
        <f aca="false">D36*D$7</f>
        <v>-212776.702297786</v>
      </c>
      <c r="E38" s="27" t="n">
        <f aca="false">E36*E$7</f>
        <v>2016943.2499195</v>
      </c>
      <c r="F38" s="27" t="n">
        <f aca="false">F36*F$7</f>
        <v>3338099.59453921</v>
      </c>
      <c r="G38" s="27" t="n">
        <f aca="false">G36*G$7</f>
        <v>3062476.6922378</v>
      </c>
    </row>
    <row r="39" customFormat="false" ht="15" hidden="false" customHeight="true" outlineLevel="0" collapsed="false">
      <c r="A39" s="14" t="s">
        <v>182</v>
      </c>
      <c r="B39" s="36" t="n">
        <f aca="false">SUM(C39:G39)</f>
        <v>-6377403.39382519</v>
      </c>
      <c r="C39" s="27" t="n">
        <f aca="false">C35*C$7</f>
        <v>-5853211.00917431</v>
      </c>
      <c r="D39" s="27" t="n">
        <f aca="false">D35*D$7</f>
        <v>-1885363.18491709</v>
      </c>
      <c r="E39" s="27" t="n">
        <f aca="false">E35*E$7</f>
        <v>-540528.436042745</v>
      </c>
      <c r="F39" s="27" t="n">
        <f aca="false">F35*F$7</f>
        <v>991795.295491275</v>
      </c>
      <c r="G39" s="27" t="n">
        <f aca="false">G35*G$7</f>
        <v>909903.940817683</v>
      </c>
    </row>
    <row r="41" customFormat="false" ht="15" hidden="false" customHeight="true" outlineLevel="0" collapsed="false">
      <c r="A41" s="11" t="s">
        <v>30</v>
      </c>
      <c r="B41" s="11"/>
      <c r="C41" s="11"/>
      <c r="D41" s="11"/>
      <c r="E41" s="11"/>
      <c r="F41" s="11"/>
      <c r="G41" s="11"/>
      <c r="H41" s="11"/>
    </row>
    <row r="42" customFormat="false" ht="15" hidden="false" customHeight="true" outlineLevel="0" collapsed="false">
      <c r="A42" s="11"/>
      <c r="B42" s="11"/>
      <c r="C42" s="11"/>
      <c r="D42" s="11"/>
      <c r="E42" s="11"/>
      <c r="F42" s="11"/>
      <c r="G42" s="11"/>
      <c r="H42" s="11"/>
    </row>
  </sheetData>
  <mergeCells count="8">
    <mergeCell ref="A1:H1"/>
    <mergeCell ref="A2:H2"/>
    <mergeCell ref="A4:H4"/>
    <mergeCell ref="A9:H9"/>
    <mergeCell ref="A19:H19"/>
    <mergeCell ref="A26:H26"/>
    <mergeCell ref="A32:H32"/>
    <mergeCell ref="A41:H42"/>
  </mergeCells>
  <conditionalFormatting sqref="C37:G37">
    <cfRule type="cellIs" priority="2" operator="lessThan" aboveAverage="0" equalAverage="0" bottom="0" percent="0" rank="0" text="" dxfId="0">
      <formula>0</formula>
    </cfRule>
    <cfRule type="cellIs" priority="3" operator="greaterThanOrEqual" aboveAverage="0" equalAverage="0" bottom="0" percent="0" rank="0" text="" dxfId="1">
      <formula>0</formula>
    </cfRule>
  </conditionalFormatting>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75569"/>
    <pageSetUpPr fitToPage="true"/>
  </sheetPr>
  <dimension ref="A1:H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7" topLeftCell="A1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7" min="2" style="1" width="16"/>
    <col collapsed="false" customWidth="true" hidden="false" outlineLevel="0" max="8" min="8" style="1" width="26"/>
  </cols>
  <sheetData>
    <row r="1" customFormat="false" ht="30" hidden="false" customHeight="true" outlineLevel="0" collapsed="false">
      <c r="A1" s="39" t="s">
        <v>183</v>
      </c>
      <c r="B1" s="39"/>
      <c r="C1" s="39"/>
      <c r="D1" s="39"/>
      <c r="E1" s="39"/>
      <c r="F1" s="39"/>
      <c r="G1" s="39"/>
      <c r="H1" s="39"/>
    </row>
    <row r="2" customFormat="false" ht="25.5" hidden="false" customHeight="true" outlineLevel="0" collapsed="false">
      <c r="A2" s="3" t="s">
        <v>184</v>
      </c>
      <c r="B2" s="3"/>
      <c r="C2" s="3"/>
      <c r="D2" s="3"/>
      <c r="E2" s="3"/>
      <c r="F2" s="3"/>
      <c r="G2" s="3"/>
      <c r="H2" s="3"/>
    </row>
    <row r="4" customFormat="false" ht="21.75" hidden="false" customHeight="true" outlineLevel="0" collapsed="false">
      <c r="A4" s="4" t="s">
        <v>185</v>
      </c>
      <c r="B4" s="4"/>
      <c r="C4" s="4"/>
      <c r="D4" s="4"/>
      <c r="E4" s="4"/>
      <c r="F4" s="4"/>
      <c r="G4" s="4"/>
      <c r="H4" s="4"/>
    </row>
    <row r="5" customFormat="false" ht="30" hidden="false" customHeight="true" outlineLevel="0" collapsed="false">
      <c r="A5" s="24" t="s">
        <v>186</v>
      </c>
      <c r="B5" s="24"/>
      <c r="C5" s="24"/>
      <c r="D5" s="24"/>
      <c r="E5" s="24"/>
      <c r="F5" s="24"/>
      <c r="G5" s="24"/>
      <c r="H5" s="24"/>
    </row>
    <row r="6" customFormat="false" ht="31.5" hidden="false" customHeight="true" outlineLevel="0" collapsed="false">
      <c r="A6" s="38" t="s">
        <v>187</v>
      </c>
      <c r="B6" s="40" t="n">
        <v>0.8</v>
      </c>
      <c r="C6" s="40" t="n">
        <v>1</v>
      </c>
      <c r="D6" s="40" t="n">
        <v>1.2</v>
      </c>
      <c r="E6" s="40" t="n">
        <v>1.4</v>
      </c>
      <c r="F6" s="40" t="n">
        <v>1.6</v>
      </c>
      <c r="G6" s="38"/>
      <c r="H6" s="38"/>
    </row>
    <row r="7" customFormat="false" ht="15" hidden="false" customHeight="true" outlineLevel="0" collapsed="false">
      <c r="A7" s="41" t="n">
        <v>0.2</v>
      </c>
      <c r="B7" s="27" t="n">
        <f aca="false">SUMPRODUCT('Investment and Benefits'!$C$7:$G$7,'Investment and Benefits'!$C$6:$G$6*((Assumptions!$B$14*Assumptions!$B$28+Assumptions!$B$17*Assumptions!$B$29+Assumptions!$B$16*Assumptions!$B$30+Assumptions!$B$23*Assumptions!$B$24*Assumptions!$B$32)+(Assumptions!$B$21*Assumptions!$B$22)*$A7)-'Investment and Benefits'!$C$16:$G$16*B$6)</f>
        <v>547422.046020816</v>
      </c>
      <c r="C7" s="27" t="n">
        <f aca="false">SUMPRODUCT('Investment and Benefits'!$C$7:$G$7,'Investment and Benefits'!$C$6:$G$6*((Assumptions!$B$14*Assumptions!$B$28+Assumptions!$B$17*Assumptions!$B$29+Assumptions!$B$16*Assumptions!$B$30+Assumptions!$B$23*Assumptions!$B$24*Assumptions!$B$32)+(Assumptions!$B$21*Assumptions!$B$22)*$A7)-'Investment and Benefits'!$C$16:$G$16*C$6)</f>
        <v>-1912053.04374922</v>
      </c>
      <c r="D7" s="27" t="n">
        <f aca="false">SUMPRODUCT('Investment and Benefits'!$C$7:$G$7,'Investment and Benefits'!$C$6:$G$6*((Assumptions!$B$14*Assumptions!$B$28+Assumptions!$B$17*Assumptions!$B$29+Assumptions!$B$16*Assumptions!$B$30+Assumptions!$B$23*Assumptions!$B$24*Assumptions!$B$32)+(Assumptions!$B$21*Assumptions!$B$22)*$A7)-'Investment and Benefits'!$C$16:$G$16*D$6)</f>
        <v>-4371528.13351925</v>
      </c>
      <c r="E7" s="27" t="n">
        <f aca="false">SUMPRODUCT('Investment and Benefits'!$C$7:$G$7,'Investment and Benefits'!$C$6:$G$6*((Assumptions!$B$14*Assumptions!$B$28+Assumptions!$B$17*Assumptions!$B$29+Assumptions!$B$16*Assumptions!$B$30+Assumptions!$B$23*Assumptions!$B$24*Assumptions!$B$32)+(Assumptions!$B$21*Assumptions!$B$22)*$A7)-'Investment and Benefits'!$C$16:$G$16*E$6)</f>
        <v>-6831003.22328928</v>
      </c>
      <c r="F7" s="27" t="n">
        <f aca="false">SUMPRODUCT('Investment and Benefits'!$C$7:$G$7,'Investment and Benefits'!$C$6:$G$6*((Assumptions!$B$14*Assumptions!$B$28+Assumptions!$B$17*Assumptions!$B$29+Assumptions!$B$16*Assumptions!$B$30+Assumptions!$B$23*Assumptions!$B$24*Assumptions!$B$32)+(Assumptions!$B$21*Assumptions!$B$22)*$A7)-'Investment and Benefits'!$C$16:$G$16*F$6)</f>
        <v>-9290478.31305931</v>
      </c>
      <c r="G7" s="33"/>
      <c r="H7" s="33"/>
    </row>
    <row r="8" customFormat="false" ht="15" hidden="false" customHeight="true" outlineLevel="0" collapsed="false">
      <c r="A8" s="41" t="n">
        <v>0.35</v>
      </c>
      <c r="B8" s="27" t="n">
        <f aca="false">SUMPRODUCT('Investment and Benefits'!$C$7:$G$7,'Investment and Benefits'!$C$6:$G$6*((Assumptions!$B$14*Assumptions!$B$28+Assumptions!$B$17*Assumptions!$B$29+Assumptions!$B$16*Assumptions!$B$30+Assumptions!$B$23*Assumptions!$B$24*Assumptions!$B$32)+(Assumptions!$B$21*Assumptions!$B$22)*$A8)-'Investment and Benefits'!$C$16:$G$16*B$6)</f>
        <v>2374156.28014281</v>
      </c>
      <c r="C8" s="27" t="n">
        <f aca="false">SUMPRODUCT('Investment and Benefits'!$C$7:$G$7,'Investment and Benefits'!$C$6:$G$6*((Assumptions!$B$14*Assumptions!$B$28+Assumptions!$B$17*Assumptions!$B$29+Assumptions!$B$16*Assumptions!$B$30+Assumptions!$B$23*Assumptions!$B$24*Assumptions!$B$32)+(Assumptions!$B$21*Assumptions!$B$22)*$A8)-'Investment and Benefits'!$C$16:$G$16*C$6)</f>
        <v>-85318.809627226</v>
      </c>
      <c r="D8" s="27" t="n">
        <f aca="false">SUMPRODUCT('Investment and Benefits'!$C$7:$G$7,'Investment and Benefits'!$C$6:$G$6*((Assumptions!$B$14*Assumptions!$B$28+Assumptions!$B$17*Assumptions!$B$29+Assumptions!$B$16*Assumptions!$B$30+Assumptions!$B$23*Assumptions!$B$24*Assumptions!$B$32)+(Assumptions!$B$21*Assumptions!$B$22)*$A8)-'Investment and Benefits'!$C$16:$G$16*D$6)</f>
        <v>-2544793.89939726</v>
      </c>
      <c r="E8" s="27" t="n">
        <f aca="false">SUMPRODUCT('Investment and Benefits'!$C$7:$G$7,'Investment and Benefits'!$C$6:$G$6*((Assumptions!$B$14*Assumptions!$B$28+Assumptions!$B$17*Assumptions!$B$29+Assumptions!$B$16*Assumptions!$B$30+Assumptions!$B$23*Assumptions!$B$24*Assumptions!$B$32)+(Assumptions!$B$21*Assumptions!$B$22)*$A8)-'Investment and Benefits'!$C$16:$G$16*E$6)</f>
        <v>-5004268.98916729</v>
      </c>
      <c r="F8" s="27" t="n">
        <f aca="false">SUMPRODUCT('Investment and Benefits'!$C$7:$G$7,'Investment and Benefits'!$C$6:$G$6*((Assumptions!$B$14*Assumptions!$B$28+Assumptions!$B$17*Assumptions!$B$29+Assumptions!$B$16*Assumptions!$B$30+Assumptions!$B$23*Assumptions!$B$24*Assumptions!$B$32)+(Assumptions!$B$21*Assumptions!$B$22)*$A8)-'Investment and Benefits'!$C$16:$G$16*F$6)</f>
        <v>-7463744.07893732</v>
      </c>
      <c r="G8" s="33"/>
      <c r="H8" s="33"/>
    </row>
    <row r="9" customFormat="false" ht="15" hidden="false" customHeight="true" outlineLevel="0" collapsed="false">
      <c r="A9" s="41" t="n">
        <v>0.5</v>
      </c>
      <c r="B9" s="27" t="n">
        <f aca="false">SUMPRODUCT('Investment and Benefits'!$C$7:$G$7,'Investment and Benefits'!$C$6:$G$6*((Assumptions!$B$14*Assumptions!$B$28+Assumptions!$B$17*Assumptions!$B$29+Assumptions!$B$16*Assumptions!$B$30+Assumptions!$B$23*Assumptions!$B$24*Assumptions!$B$32)+(Assumptions!$B$21*Assumptions!$B$22)*$A9)-'Investment and Benefits'!$C$16:$G$16*B$6)</f>
        <v>4200890.5142648</v>
      </c>
      <c r="C9" s="27" t="n">
        <f aca="false">SUMPRODUCT('Investment and Benefits'!$C$7:$G$7,'Investment and Benefits'!$C$6:$G$6*((Assumptions!$B$14*Assumptions!$B$28+Assumptions!$B$17*Assumptions!$B$29+Assumptions!$B$16*Assumptions!$B$30+Assumptions!$B$23*Assumptions!$B$24*Assumptions!$B$32)+(Assumptions!$B$21*Assumptions!$B$22)*$A9)-'Investment and Benefits'!$C$16:$G$16*C$6)</f>
        <v>1741415.42449477</v>
      </c>
      <c r="D9" s="27" t="n">
        <f aca="false">SUMPRODUCT('Investment and Benefits'!$C$7:$G$7,'Investment and Benefits'!$C$6:$G$6*((Assumptions!$B$14*Assumptions!$B$28+Assumptions!$B$17*Assumptions!$B$29+Assumptions!$B$16*Assumptions!$B$30+Assumptions!$B$23*Assumptions!$B$24*Assumptions!$B$32)+(Assumptions!$B$21*Assumptions!$B$22)*$A9)-'Investment and Benefits'!$C$16:$G$16*D$6)</f>
        <v>-718059.665275267</v>
      </c>
      <c r="E9" s="27" t="n">
        <f aca="false">SUMPRODUCT('Investment and Benefits'!$C$7:$G$7,'Investment and Benefits'!$C$6:$G$6*((Assumptions!$B$14*Assumptions!$B$28+Assumptions!$B$17*Assumptions!$B$29+Assumptions!$B$16*Assumptions!$B$30+Assumptions!$B$23*Assumptions!$B$24*Assumptions!$B$32)+(Assumptions!$B$21*Assumptions!$B$22)*$A9)-'Investment and Benefits'!$C$16:$G$16*E$6)</f>
        <v>-3177534.7550453</v>
      </c>
      <c r="F9" s="27" t="n">
        <f aca="false">SUMPRODUCT('Investment and Benefits'!$C$7:$G$7,'Investment and Benefits'!$C$6:$G$6*((Assumptions!$B$14*Assumptions!$B$28+Assumptions!$B$17*Assumptions!$B$29+Assumptions!$B$16*Assumptions!$B$30+Assumptions!$B$23*Assumptions!$B$24*Assumptions!$B$32)+(Assumptions!$B$21*Assumptions!$B$22)*$A9)-'Investment and Benefits'!$C$16:$G$16*F$6)</f>
        <v>-5637009.84481533</v>
      </c>
      <c r="G9" s="33"/>
      <c r="H9" s="33"/>
    </row>
    <row r="10" customFormat="false" ht="15" hidden="false" customHeight="true" outlineLevel="0" collapsed="false">
      <c r="A10" s="41" t="n">
        <v>0.6</v>
      </c>
      <c r="B10" s="27" t="n">
        <f aca="false">SUMPRODUCT('Investment and Benefits'!$C$7:$G$7,'Investment and Benefits'!$C$6:$G$6*((Assumptions!$B$14*Assumptions!$B$28+Assumptions!$B$17*Assumptions!$B$29+Assumptions!$B$16*Assumptions!$B$30+Assumptions!$B$23*Assumptions!$B$24*Assumptions!$B$32)+(Assumptions!$B$21*Assumptions!$B$22)*$A10)-'Investment and Benefits'!$C$16:$G$16*B$6)</f>
        <v>5418713.33701279</v>
      </c>
      <c r="C10" s="27" t="n">
        <f aca="false">SUMPRODUCT('Investment and Benefits'!$C$7:$G$7,'Investment and Benefits'!$C$6:$G$6*((Assumptions!$B$14*Assumptions!$B$28+Assumptions!$B$17*Assumptions!$B$29+Assumptions!$B$16*Assumptions!$B$30+Assumptions!$B$23*Assumptions!$B$24*Assumptions!$B$32)+(Assumptions!$B$21*Assumptions!$B$22)*$A10)-'Investment and Benefits'!$C$16:$G$16*C$6)</f>
        <v>2959238.24724276</v>
      </c>
      <c r="D10" s="27" t="n">
        <f aca="false">SUMPRODUCT('Investment and Benefits'!$C$7:$G$7,'Investment and Benefits'!$C$6:$G$6*((Assumptions!$B$14*Assumptions!$B$28+Assumptions!$B$17*Assumptions!$B$29+Assumptions!$B$16*Assumptions!$B$30+Assumptions!$B$23*Assumptions!$B$24*Assumptions!$B$32)+(Assumptions!$B$21*Assumptions!$B$22)*$A10)-'Investment and Benefits'!$C$16:$G$16*D$6)</f>
        <v>499763.157472726</v>
      </c>
      <c r="E10" s="27" t="n">
        <f aca="false">SUMPRODUCT('Investment and Benefits'!$C$7:$G$7,'Investment and Benefits'!$C$6:$G$6*((Assumptions!$B$14*Assumptions!$B$28+Assumptions!$B$17*Assumptions!$B$29+Assumptions!$B$16*Assumptions!$B$30+Assumptions!$B$23*Assumptions!$B$24*Assumptions!$B$32)+(Assumptions!$B$21*Assumptions!$B$22)*$A10)-'Investment and Benefits'!$C$16:$G$16*E$6)</f>
        <v>-1959711.93229731</v>
      </c>
      <c r="F10" s="27" t="n">
        <f aca="false">SUMPRODUCT('Investment and Benefits'!$C$7:$G$7,'Investment and Benefits'!$C$6:$G$6*((Assumptions!$B$14*Assumptions!$B$28+Assumptions!$B$17*Assumptions!$B$29+Assumptions!$B$16*Assumptions!$B$30+Assumptions!$B$23*Assumptions!$B$24*Assumptions!$B$32)+(Assumptions!$B$21*Assumptions!$B$22)*$A10)-'Investment and Benefits'!$C$16:$G$16*F$6)</f>
        <v>-4419187.02206734</v>
      </c>
      <c r="G10" s="33"/>
      <c r="H10" s="33"/>
    </row>
    <row r="11" customFormat="false" ht="15" hidden="false" customHeight="true" outlineLevel="0" collapsed="false">
      <c r="A11" s="41" t="n">
        <v>0.7</v>
      </c>
      <c r="B11" s="27" t="n">
        <f aca="false">SUMPRODUCT('Investment and Benefits'!$C$7:$G$7,'Investment and Benefits'!$C$6:$G$6*((Assumptions!$B$14*Assumptions!$B$28+Assumptions!$B$17*Assumptions!$B$29+Assumptions!$B$16*Assumptions!$B$30+Assumptions!$B$23*Assumptions!$B$24*Assumptions!$B$32)+(Assumptions!$B$21*Assumptions!$B$22)*$A11)-'Investment and Benefits'!$C$16:$G$16*B$6)</f>
        <v>6636536.15976078</v>
      </c>
      <c r="C11" s="27" t="n">
        <f aca="false">SUMPRODUCT('Investment and Benefits'!$C$7:$G$7,'Investment and Benefits'!$C$6:$G$6*((Assumptions!$B$14*Assumptions!$B$28+Assumptions!$B$17*Assumptions!$B$29+Assumptions!$B$16*Assumptions!$B$30+Assumptions!$B$23*Assumptions!$B$24*Assumptions!$B$32)+(Assumptions!$B$21*Assumptions!$B$22)*$A11)-'Investment and Benefits'!$C$16:$G$16*C$6)</f>
        <v>4177061.06999075</v>
      </c>
      <c r="D11" s="27" t="n">
        <f aca="false">SUMPRODUCT('Investment and Benefits'!$C$7:$G$7,'Investment and Benefits'!$C$6:$G$6*((Assumptions!$B$14*Assumptions!$B$28+Assumptions!$B$17*Assumptions!$B$29+Assumptions!$B$16*Assumptions!$B$30+Assumptions!$B$23*Assumptions!$B$24*Assumptions!$B$32)+(Assumptions!$B$21*Assumptions!$B$22)*$A11)-'Investment and Benefits'!$C$16:$G$16*D$6)</f>
        <v>1717585.98022072</v>
      </c>
      <c r="E11" s="27" t="n">
        <f aca="false">SUMPRODUCT('Investment and Benefits'!$C$7:$G$7,'Investment and Benefits'!$C$6:$G$6*((Assumptions!$B$14*Assumptions!$B$28+Assumptions!$B$17*Assumptions!$B$29+Assumptions!$B$16*Assumptions!$B$30+Assumptions!$B$23*Assumptions!$B$24*Assumptions!$B$32)+(Assumptions!$B$21*Assumptions!$B$22)*$A11)-'Investment and Benefits'!$C$16:$G$16*E$6)</f>
        <v>-741889.109549313</v>
      </c>
      <c r="F11" s="27" t="n">
        <f aca="false">SUMPRODUCT('Investment and Benefits'!$C$7:$G$7,'Investment and Benefits'!$C$6:$G$6*((Assumptions!$B$14*Assumptions!$B$28+Assumptions!$B$17*Assumptions!$B$29+Assumptions!$B$16*Assumptions!$B$30+Assumptions!$B$23*Assumptions!$B$24*Assumptions!$B$32)+(Assumptions!$B$21*Assumptions!$B$22)*$A11)-'Investment and Benefits'!$C$16:$G$16*F$6)</f>
        <v>-3201364.19931935</v>
      </c>
      <c r="G11" s="33"/>
      <c r="H11" s="33"/>
    </row>
    <row r="12" customFormat="false" ht="15" hidden="false" customHeight="true" outlineLevel="0" collapsed="false">
      <c r="A12" s="41" t="n">
        <v>0.8</v>
      </c>
      <c r="B12" s="27" t="n">
        <f aca="false">SUMPRODUCT('Investment and Benefits'!$C$7:$G$7,'Investment and Benefits'!$C$6:$G$6*((Assumptions!$B$14*Assumptions!$B$28+Assumptions!$B$17*Assumptions!$B$29+Assumptions!$B$16*Assumptions!$B$30+Assumptions!$B$23*Assumptions!$B$24*Assumptions!$B$32)+(Assumptions!$B$21*Assumptions!$B$22)*$A12)-'Investment and Benefits'!$C$16:$G$16*B$6)</f>
        <v>7854358.98250878</v>
      </c>
      <c r="C12" s="27" t="n">
        <f aca="false">SUMPRODUCT('Investment and Benefits'!$C$7:$G$7,'Investment and Benefits'!$C$6:$G$6*((Assumptions!$B$14*Assumptions!$B$28+Assumptions!$B$17*Assumptions!$B$29+Assumptions!$B$16*Assumptions!$B$30+Assumptions!$B$23*Assumptions!$B$24*Assumptions!$B$32)+(Assumptions!$B$21*Assumptions!$B$22)*$A12)-'Investment and Benefits'!$C$16:$G$16*C$6)</f>
        <v>5394883.89273875</v>
      </c>
      <c r="D12" s="27" t="n">
        <f aca="false">SUMPRODUCT('Investment and Benefits'!$C$7:$G$7,'Investment and Benefits'!$C$6:$G$6*((Assumptions!$B$14*Assumptions!$B$28+Assumptions!$B$17*Assumptions!$B$29+Assumptions!$B$16*Assumptions!$B$30+Assumptions!$B$23*Assumptions!$B$24*Assumptions!$B$32)+(Assumptions!$B$21*Assumptions!$B$22)*$A12)-'Investment and Benefits'!$C$16:$G$16*D$6)</f>
        <v>2935408.80296871</v>
      </c>
      <c r="E12" s="27" t="n">
        <f aca="false">SUMPRODUCT('Investment and Benefits'!$C$7:$G$7,'Investment and Benefits'!$C$6:$G$6*((Assumptions!$B$14*Assumptions!$B$28+Assumptions!$B$17*Assumptions!$B$29+Assumptions!$B$16*Assumptions!$B$30+Assumptions!$B$23*Assumptions!$B$24*Assumptions!$B$32)+(Assumptions!$B$21*Assumptions!$B$22)*$A12)-'Investment and Benefits'!$C$16:$G$16*E$6)</f>
        <v>475933.713198681</v>
      </c>
      <c r="F12" s="27" t="n">
        <f aca="false">SUMPRODUCT('Investment and Benefits'!$C$7:$G$7,'Investment and Benefits'!$C$6:$G$6*((Assumptions!$B$14*Assumptions!$B$28+Assumptions!$B$17*Assumptions!$B$29+Assumptions!$B$16*Assumptions!$B$30+Assumptions!$B$23*Assumptions!$B$24*Assumptions!$B$32)+(Assumptions!$B$21*Assumptions!$B$22)*$A12)-'Investment and Benefits'!$C$16:$G$16*F$6)</f>
        <v>-1983541.37657135</v>
      </c>
      <c r="G12" s="33"/>
      <c r="H12" s="33"/>
    </row>
    <row r="14" customFormat="false" ht="30" hidden="false" customHeight="true" outlineLevel="0" collapsed="false">
      <c r="A14" s="24" t="s">
        <v>188</v>
      </c>
      <c r="B14" s="24"/>
      <c r="C14" s="24"/>
      <c r="D14" s="24"/>
      <c r="E14" s="24"/>
      <c r="F14" s="24"/>
      <c r="G14" s="24"/>
      <c r="H14" s="24"/>
    </row>
    <row r="16" customFormat="false" ht="21.75" hidden="false" customHeight="true" outlineLevel="0" collapsed="false">
      <c r="A16" s="4" t="s">
        <v>189</v>
      </c>
      <c r="B16" s="4"/>
      <c r="C16" s="4"/>
      <c r="D16" s="4"/>
      <c r="E16" s="4"/>
      <c r="F16" s="4"/>
      <c r="G16" s="4"/>
      <c r="H16" s="4"/>
    </row>
    <row r="17" customFormat="false" ht="24" hidden="false" customHeight="true" outlineLevel="0" collapsed="false">
      <c r="A17" s="13" t="s">
        <v>190</v>
      </c>
      <c r="B17" s="13" t="s">
        <v>191</v>
      </c>
      <c r="C17" s="13" t="s">
        <v>192</v>
      </c>
      <c r="D17" s="13" t="s">
        <v>193</v>
      </c>
      <c r="E17" s="13" t="s">
        <v>194</v>
      </c>
      <c r="F17" s="13" t="s">
        <v>195</v>
      </c>
      <c r="G17" s="13"/>
      <c r="H17" s="13"/>
    </row>
    <row r="18" customFormat="false" ht="15" hidden="false" customHeight="true" outlineLevel="0" collapsed="false">
      <c r="A18" s="14" t="s">
        <v>196</v>
      </c>
      <c r="B18" s="27" t="n">
        <f aca="false">SUMPRODUCT('Investment and Benefits'!$C$7:$G$7,'Investment and Benefits'!$C$6:$G$6*(Assumptions!$B$14*Assumptions!$B$28*0.5+Assumptions!$B$17*Assumptions!$B$29+Assumptions!$B$16*Assumptions!$B$30+Assumptions!$B$21*Assumptions!$B$22*Assumptions!$B$31+Assumptions!$B$23*Assumptions!$B$24*Assumptions!$B$32)-'Investment and Benefits'!$C$16:$G$16)</f>
        <v>1606101.77752276</v>
      </c>
      <c r="C18" s="27" t="n">
        <f aca="false">SUMPRODUCT('Investment and Benefits'!$C$7:$G$7,'Investment and Benefits'!$C$6:$G$6*(Assumptions!$B$14*Assumptions!$B$28*0.75+Assumptions!$B$17*Assumptions!$B$29+Assumptions!$B$16*Assumptions!$B$30+Assumptions!$B$21*Assumptions!$B$22*Assumptions!$B$31+Assumptions!$B$23*Assumptions!$B$24*Assumptions!$B$32)-'Investment and Benefits'!$C$16:$G$16)</f>
        <v>2282670.01238276</v>
      </c>
      <c r="D18" s="27" t="n">
        <f aca="false">SUMPRODUCT('Investment and Benefits'!$C$7:$G$7,'Investment and Benefits'!$C$6:$G$6*(Assumptions!$B$14*Assumptions!$B$28*1+Assumptions!$B$17*Assumptions!$B$29+Assumptions!$B$16*Assumptions!$B$30+Assumptions!$B$21*Assumptions!$B$22*Assumptions!$B$31+Assumptions!$B$23*Assumptions!$B$24*Assumptions!$B$32)-'Investment and Benefits'!$C$16:$G$16)</f>
        <v>2959238.24724276</v>
      </c>
      <c r="E18" s="27" t="n">
        <f aca="false">SUMPRODUCT('Investment and Benefits'!$C$7:$G$7,'Investment and Benefits'!$C$6:$G$6*(Assumptions!$B$14*Assumptions!$B$28*1.25+Assumptions!$B$17*Assumptions!$B$29+Assumptions!$B$16*Assumptions!$B$30+Assumptions!$B$21*Assumptions!$B$22*Assumptions!$B$31+Assumptions!$B$23*Assumptions!$B$24*Assumptions!$B$32)-'Investment and Benefits'!$C$16:$G$16)</f>
        <v>3635806.48210275</v>
      </c>
      <c r="F18" s="27" t="n">
        <f aca="false">SUMPRODUCT('Investment and Benefits'!$C$7:$G$7,'Investment and Benefits'!$C$6:$G$6*(Assumptions!$B$14*Assumptions!$B$28*1.5+Assumptions!$B$17*Assumptions!$B$29+Assumptions!$B$16*Assumptions!$B$30+Assumptions!$B$21*Assumptions!$B$22*Assumptions!$B$31+Assumptions!$B$23*Assumptions!$B$24*Assumptions!$B$32)-'Investment and Benefits'!$C$16:$G$16)</f>
        <v>4312374.71696275</v>
      </c>
      <c r="G18" s="33"/>
      <c r="H18" s="33"/>
    </row>
    <row r="19" customFormat="false" ht="15" hidden="false" customHeight="true" outlineLevel="0" collapsed="false">
      <c r="A19" s="14" t="s">
        <v>197</v>
      </c>
      <c r="B19" s="27" t="n">
        <f aca="false">SUMPRODUCT('Investment and Benefits'!$C$7:$G$7,'Investment and Benefits'!$C$6:$G$6*(Assumptions!$B$14*Assumptions!$B$28+Assumptions!$B$17*Assumptions!$B$29*0.5+Assumptions!$B$16*Assumptions!$B$30+Assumptions!$B$21*Assumptions!$B$22*Assumptions!$B$31+Assumptions!$B$23*Assumptions!$B$24*Assumptions!$B$32)-'Investment and Benefits'!$C$16:$G$16)</f>
        <v>1796386.59357714</v>
      </c>
      <c r="C19" s="27" t="n">
        <f aca="false">SUMPRODUCT('Investment and Benefits'!$C$7:$G$7,'Investment and Benefits'!$C$6:$G$6*(Assumptions!$B$14*Assumptions!$B$28+Assumptions!$B$17*Assumptions!$B$29*0.75+Assumptions!$B$16*Assumptions!$B$30+Assumptions!$B$21*Assumptions!$B$22*Assumptions!$B$31+Assumptions!$B$23*Assumptions!$B$24*Assumptions!$B$32)-'Investment and Benefits'!$C$16:$G$16)</f>
        <v>2377812.42040995</v>
      </c>
      <c r="D19" s="27" t="n">
        <f aca="false">SUMPRODUCT('Investment and Benefits'!$C$7:$G$7,'Investment and Benefits'!$C$6:$G$6*(Assumptions!$B$14*Assumptions!$B$28+Assumptions!$B$17*Assumptions!$B$29*1+Assumptions!$B$16*Assumptions!$B$30+Assumptions!$B$21*Assumptions!$B$22*Assumptions!$B$31+Assumptions!$B$23*Assumptions!$B$24*Assumptions!$B$32)-'Investment and Benefits'!$C$16:$G$16)</f>
        <v>2959238.24724276</v>
      </c>
      <c r="E19" s="27" t="n">
        <f aca="false">SUMPRODUCT('Investment and Benefits'!$C$7:$G$7,'Investment and Benefits'!$C$6:$G$6*(Assumptions!$B$14*Assumptions!$B$28+Assumptions!$B$17*Assumptions!$B$29*1.25+Assumptions!$B$16*Assumptions!$B$30+Assumptions!$B$21*Assumptions!$B$22*Assumptions!$B$31+Assumptions!$B$23*Assumptions!$B$24*Assumptions!$B$32)-'Investment and Benefits'!$C$16:$G$16)</f>
        <v>3540664.07407557</v>
      </c>
      <c r="F19" s="27" t="n">
        <f aca="false">SUMPRODUCT('Investment and Benefits'!$C$7:$G$7,'Investment and Benefits'!$C$6:$G$6*(Assumptions!$B$14*Assumptions!$B$28+Assumptions!$B$17*Assumptions!$B$29*1.5+Assumptions!$B$16*Assumptions!$B$30+Assumptions!$B$21*Assumptions!$B$22*Assumptions!$B$31+Assumptions!$B$23*Assumptions!$B$24*Assumptions!$B$32)-'Investment and Benefits'!$C$16:$G$16)</f>
        <v>4122089.90090838</v>
      </c>
      <c r="G19" s="33"/>
      <c r="H19" s="33"/>
    </row>
    <row r="20" customFormat="false" ht="15" hidden="false" customHeight="true" outlineLevel="0" collapsed="false">
      <c r="A20" s="14" t="s">
        <v>198</v>
      </c>
      <c r="B20" s="27" t="n">
        <f aca="false">SUMPRODUCT('Investment and Benefits'!$C$7:$G$7,'Investment and Benefits'!$C$6:$G$6*(Assumptions!$B$14*Assumptions!$B$28+Assumptions!$B$17*Assumptions!$B$29+Assumptions!$B$16*Assumptions!$B$30*0.5+Assumptions!$B$21*Assumptions!$B$22*Assumptions!$B$31+Assumptions!$B$23*Assumptions!$B$24*Assumptions!$B$32)-'Investment and Benefits'!$C$16:$G$16)</f>
        <v>2515240.34311589</v>
      </c>
      <c r="C20" s="27" t="n">
        <f aca="false">SUMPRODUCT('Investment and Benefits'!$C$7:$G$7,'Investment and Benefits'!$C$6:$G$6*(Assumptions!$B$14*Assumptions!$B$28+Assumptions!$B$17*Assumptions!$B$29+Assumptions!$B$16*Assumptions!$B$30*0.75+Assumptions!$B$21*Assumptions!$B$22*Assumptions!$B$31+Assumptions!$B$23*Assumptions!$B$24*Assumptions!$B$32)-'Investment and Benefits'!$C$16:$G$16)</f>
        <v>2737239.29517932</v>
      </c>
      <c r="D20" s="27" t="n">
        <f aca="false">SUMPRODUCT('Investment and Benefits'!$C$7:$G$7,'Investment and Benefits'!$C$6:$G$6*(Assumptions!$B$14*Assumptions!$B$28+Assumptions!$B$17*Assumptions!$B$29+Assumptions!$B$16*Assumptions!$B$30*1+Assumptions!$B$21*Assumptions!$B$22*Assumptions!$B$31+Assumptions!$B$23*Assumptions!$B$24*Assumptions!$B$32)-'Investment and Benefits'!$C$16:$G$16)</f>
        <v>2959238.24724276</v>
      </c>
      <c r="E20" s="27" t="n">
        <f aca="false">SUMPRODUCT('Investment and Benefits'!$C$7:$G$7,'Investment and Benefits'!$C$6:$G$6*(Assumptions!$B$14*Assumptions!$B$28+Assumptions!$B$17*Assumptions!$B$29+Assumptions!$B$16*Assumptions!$B$30*1.25+Assumptions!$B$21*Assumptions!$B$22*Assumptions!$B$31+Assumptions!$B$23*Assumptions!$B$24*Assumptions!$B$32)-'Investment and Benefits'!$C$16:$G$16)</f>
        <v>3181237.19930619</v>
      </c>
      <c r="F20" s="27" t="n">
        <f aca="false">SUMPRODUCT('Investment and Benefits'!$C$7:$G$7,'Investment and Benefits'!$C$6:$G$6*(Assumptions!$B$14*Assumptions!$B$28+Assumptions!$B$17*Assumptions!$B$29+Assumptions!$B$16*Assumptions!$B$30*1.5+Assumptions!$B$21*Assumptions!$B$22*Assumptions!$B$31+Assumptions!$B$23*Assumptions!$B$24*Assumptions!$B$32)-'Investment and Benefits'!$C$16:$G$16)</f>
        <v>3403236.15136963</v>
      </c>
      <c r="G20" s="33"/>
      <c r="H20" s="33"/>
    </row>
    <row r="21" customFormat="false" ht="15" hidden="false" customHeight="true" outlineLevel="0" collapsed="false">
      <c r="A21" s="14" t="s">
        <v>199</v>
      </c>
      <c r="B21" s="27" t="n">
        <f aca="false">SUMPRODUCT('Investment and Benefits'!$C$7:$G$7,'Investment and Benefits'!$C$6:$G$6*(Assumptions!$B$14*Assumptions!$B$28+Assumptions!$B$17*Assumptions!$B$29+Assumptions!$B$16*Assumptions!$B$30+Assumptions!$B$21*Assumptions!$B$22*Assumptions!$B$31*0.5+Assumptions!$B$23*Assumptions!$B$24*Assumptions!$B$32)-'Investment and Benefits'!$C$16:$G$16)</f>
        <v>-694230.221001223</v>
      </c>
      <c r="C21" s="27" t="n">
        <f aca="false">SUMPRODUCT('Investment and Benefits'!$C$7:$G$7,'Investment and Benefits'!$C$6:$G$6*(Assumptions!$B$14*Assumptions!$B$28+Assumptions!$B$17*Assumptions!$B$29+Assumptions!$B$16*Assumptions!$B$30+Assumptions!$B$21*Assumptions!$B$22*Assumptions!$B$31*0.75+Assumptions!$B$23*Assumptions!$B$24*Assumptions!$B$32)-'Investment and Benefits'!$C$16:$G$16)</f>
        <v>1132504.01312077</v>
      </c>
      <c r="D21" s="27" t="n">
        <f aca="false">SUMPRODUCT('Investment and Benefits'!$C$7:$G$7,'Investment and Benefits'!$C$6:$G$6*(Assumptions!$B$14*Assumptions!$B$28+Assumptions!$B$17*Assumptions!$B$29+Assumptions!$B$16*Assumptions!$B$30+Assumptions!$B$21*Assumptions!$B$22*Assumptions!$B$31*1+Assumptions!$B$23*Assumptions!$B$24*Assumptions!$B$32)-'Investment and Benefits'!$C$16:$G$16)</f>
        <v>2959238.24724276</v>
      </c>
      <c r="E21" s="27" t="n">
        <f aca="false">SUMPRODUCT('Investment and Benefits'!$C$7:$G$7,'Investment and Benefits'!$C$6:$G$6*(Assumptions!$B$14*Assumptions!$B$28+Assumptions!$B$17*Assumptions!$B$29+Assumptions!$B$16*Assumptions!$B$30+Assumptions!$B$21*Assumptions!$B$22*Assumptions!$B$31*1.25+Assumptions!$B$23*Assumptions!$B$24*Assumptions!$B$32)-'Investment and Benefits'!$C$16:$G$16)</f>
        <v>4785972.48136475</v>
      </c>
      <c r="F21" s="27" t="n">
        <f aca="false">SUMPRODUCT('Investment and Benefits'!$C$7:$G$7,'Investment and Benefits'!$C$6:$G$6*(Assumptions!$B$14*Assumptions!$B$28+Assumptions!$B$17*Assumptions!$B$29+Assumptions!$B$16*Assumptions!$B$30+Assumptions!$B$21*Assumptions!$B$22*Assumptions!$B$31*1.5+Assumptions!$B$23*Assumptions!$B$24*Assumptions!$B$32)-'Investment and Benefits'!$C$16:$G$16)</f>
        <v>6612706.71548674</v>
      </c>
      <c r="G21" s="33"/>
      <c r="H21" s="33"/>
    </row>
    <row r="22" customFormat="false" ht="15" hidden="false" customHeight="true" outlineLevel="0" collapsed="false">
      <c r="A22" s="14" t="s">
        <v>200</v>
      </c>
      <c r="B22" s="27" t="n">
        <f aca="false">SUMPRODUCT('Investment and Benefits'!$C$7:$G$7,'Investment and Benefits'!$C$6:$G$6*(Assumptions!$B$14*Assumptions!$B$28+Assumptions!$B$17*Assumptions!$B$29+Assumptions!$B$16*Assumptions!$B$30+Assumptions!$B$21*Assumptions!$B$22*Assumptions!$B$31+Assumptions!$B$23*Assumptions!$B$24*Assumptions!$B$32*0.5)-'Investment and Benefits'!$C$16:$G$16)</f>
        <v>1944385.89495276</v>
      </c>
      <c r="C22" s="27" t="n">
        <f aca="false">SUMPRODUCT('Investment and Benefits'!$C$7:$G$7,'Investment and Benefits'!$C$6:$G$6*(Assumptions!$B$14*Assumptions!$B$28+Assumptions!$B$17*Assumptions!$B$29+Assumptions!$B$16*Assumptions!$B$30+Assumptions!$B$21*Assumptions!$B$22*Assumptions!$B$31+Assumptions!$B$23*Assumptions!$B$24*Assumptions!$B$32*0.75)-'Investment and Benefits'!$C$16:$G$16)</f>
        <v>2451812.07109776</v>
      </c>
      <c r="D22" s="27" t="n">
        <f aca="false">SUMPRODUCT('Investment and Benefits'!$C$7:$G$7,'Investment and Benefits'!$C$6:$G$6*(Assumptions!$B$14*Assumptions!$B$28+Assumptions!$B$17*Assumptions!$B$29+Assumptions!$B$16*Assumptions!$B$30+Assumptions!$B$21*Assumptions!$B$22*Assumptions!$B$31+Assumptions!$B$23*Assumptions!$B$24*Assumptions!$B$32*1)-'Investment and Benefits'!$C$16:$G$16)</f>
        <v>2959238.24724276</v>
      </c>
      <c r="E22" s="27" t="n">
        <f aca="false">SUMPRODUCT('Investment and Benefits'!$C$7:$G$7,'Investment and Benefits'!$C$6:$G$6*(Assumptions!$B$14*Assumptions!$B$28+Assumptions!$B$17*Assumptions!$B$29+Assumptions!$B$16*Assumptions!$B$30+Assumptions!$B$21*Assumptions!$B$22*Assumptions!$B$31+Assumptions!$B$23*Assumptions!$B$24*Assumptions!$B$32*1.25)-'Investment and Benefits'!$C$16:$G$16)</f>
        <v>3466664.42338775</v>
      </c>
      <c r="F22" s="27" t="n">
        <f aca="false">SUMPRODUCT('Investment and Benefits'!$C$7:$G$7,'Investment and Benefits'!$C$6:$G$6*(Assumptions!$B$14*Assumptions!$B$28+Assumptions!$B$17*Assumptions!$B$29+Assumptions!$B$16*Assumptions!$B$30+Assumptions!$B$21*Assumptions!$B$22*Assumptions!$B$31+Assumptions!$B$23*Assumptions!$B$24*Assumptions!$B$32*1.5)-'Investment and Benefits'!$C$16:$G$16)</f>
        <v>3974090.59953275</v>
      </c>
      <c r="G22" s="33"/>
      <c r="H22" s="33"/>
    </row>
    <row r="24" customFormat="false" ht="23.25" hidden="false" customHeight="true" outlineLevel="0" collapsed="false">
      <c r="A24" s="14" t="s">
        <v>201</v>
      </c>
      <c r="B24" s="33" t="s">
        <v>202</v>
      </c>
      <c r="C24" s="33"/>
      <c r="D24" s="33"/>
      <c r="E24" s="33"/>
      <c r="F24" s="33"/>
    </row>
    <row r="26" customFormat="false" ht="15" hidden="false" customHeight="true" outlineLevel="0" collapsed="false">
      <c r="A26" s="11" t="s">
        <v>30</v>
      </c>
      <c r="B26" s="11"/>
      <c r="C26" s="11"/>
      <c r="D26" s="11"/>
      <c r="E26" s="11"/>
      <c r="F26" s="11"/>
      <c r="G26" s="11"/>
      <c r="H26" s="11"/>
    </row>
    <row r="27" customFormat="false" ht="15" hidden="false" customHeight="true" outlineLevel="0" collapsed="false">
      <c r="A27" s="11"/>
      <c r="B27" s="11"/>
      <c r="C27" s="11"/>
      <c r="D27" s="11"/>
      <c r="E27" s="11"/>
      <c r="F27" s="11"/>
      <c r="G27" s="11"/>
      <c r="H27" s="11"/>
    </row>
  </sheetData>
  <mergeCells count="8">
    <mergeCell ref="A1:H1"/>
    <mergeCell ref="A2:H2"/>
    <mergeCell ref="A4:H4"/>
    <mergeCell ref="A5:H5"/>
    <mergeCell ref="A14:H14"/>
    <mergeCell ref="A16:H16"/>
    <mergeCell ref="B24:F24"/>
    <mergeCell ref="A26:H27"/>
  </mergeCells>
  <conditionalFormatting sqref="B7:F12">
    <cfRule type="cellIs" priority="2" operator="lessThan" aboveAverage="0" equalAverage="0" bottom="0" percent="0" rank="0" text="" dxfId="2">
      <formula>0</formula>
    </cfRule>
    <cfRule type="cellIs" priority="3" operator="greaterThan" aboveAverage="0" equalAverage="0" bottom="0" percent="0" rank="0" text="" dxfId="1">
      <formula>0</formula>
    </cfRule>
  </conditionalFormatting>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A1:H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6" topLeftCell="A2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20"/>
    <col collapsed="false" customWidth="true" hidden="false" outlineLevel="0" max="7" min="3" style="1" width="16"/>
    <col collapsed="false" customWidth="true" hidden="false" outlineLevel="0" max="8" min="8" style="1" width="32"/>
  </cols>
  <sheetData>
    <row r="1" customFormat="false" ht="30" hidden="false" customHeight="true" outlineLevel="0" collapsed="false">
      <c r="A1" s="12" t="s">
        <v>203</v>
      </c>
      <c r="B1" s="12"/>
      <c r="C1" s="12"/>
      <c r="D1" s="12"/>
      <c r="E1" s="12"/>
      <c r="F1" s="12"/>
      <c r="G1" s="12"/>
      <c r="H1" s="12"/>
    </row>
    <row r="2" customFormat="false" ht="25.5" hidden="false" customHeight="true" outlineLevel="0" collapsed="false">
      <c r="A2" s="3" t="s">
        <v>204</v>
      </c>
      <c r="B2" s="3"/>
      <c r="C2" s="3"/>
      <c r="D2" s="3"/>
      <c r="E2" s="3"/>
      <c r="F2" s="3"/>
      <c r="G2" s="3"/>
      <c r="H2" s="3"/>
    </row>
    <row r="4" customFormat="false" ht="21.75" hidden="false" customHeight="true" outlineLevel="0" collapsed="false">
      <c r="A4" s="4" t="s">
        <v>205</v>
      </c>
      <c r="B4" s="4"/>
      <c r="C4" s="4"/>
      <c r="D4" s="4"/>
      <c r="E4" s="4"/>
      <c r="F4" s="4"/>
      <c r="G4" s="4"/>
      <c r="H4" s="4"/>
    </row>
    <row r="5" customFormat="false" ht="24" hidden="false" customHeight="true" outlineLevel="0" collapsed="false">
      <c r="A5" s="13" t="s">
        <v>206</v>
      </c>
      <c r="B5" s="13" t="s">
        <v>35</v>
      </c>
      <c r="C5" s="13"/>
      <c r="D5" s="13"/>
      <c r="E5" s="13"/>
      <c r="F5" s="13"/>
      <c r="G5" s="13"/>
      <c r="H5" s="13" t="s">
        <v>207</v>
      </c>
    </row>
    <row r="6" customFormat="false" ht="31.5" hidden="false" customHeight="true" outlineLevel="0" collapsed="false">
      <c r="A6" s="14" t="s">
        <v>208</v>
      </c>
      <c r="B6" s="28" t="n">
        <f aca="false">SUM('Investment and Benefits'!$C$16:$G$16)</f>
        <v>14500000</v>
      </c>
      <c r="C6" s="33"/>
      <c r="D6" s="33"/>
      <c r="E6" s="33"/>
      <c r="F6" s="33"/>
      <c r="G6" s="33"/>
      <c r="H6" s="26" t="s">
        <v>209</v>
      </c>
    </row>
    <row r="7" customFormat="false" ht="31.5" hidden="false" customHeight="true" outlineLevel="0" collapsed="false">
      <c r="A7" s="14" t="s">
        <v>210</v>
      </c>
      <c r="B7" s="28" t="n">
        <f aca="false">SUM('Investment and Benefits'!$C$24:$G$24)</f>
        <v>7980000</v>
      </c>
      <c r="C7" s="33"/>
      <c r="D7" s="33"/>
      <c r="E7" s="33"/>
      <c r="F7" s="33"/>
      <c r="G7" s="33"/>
      <c r="H7" s="26" t="s">
        <v>211</v>
      </c>
    </row>
    <row r="8" customFormat="false" ht="31.5" hidden="false" customHeight="true" outlineLevel="0" collapsed="false">
      <c r="A8" s="14" t="s">
        <v>212</v>
      </c>
      <c r="B8" s="28" t="n">
        <f aca="false">SUM('Investment and Benefits'!$C$30:$G$30)</f>
        <v>12585600</v>
      </c>
      <c r="C8" s="33"/>
      <c r="D8" s="33"/>
      <c r="E8" s="33"/>
      <c r="F8" s="33"/>
      <c r="G8" s="33"/>
      <c r="H8" s="26" t="s">
        <v>213</v>
      </c>
    </row>
    <row r="9" customFormat="false" ht="31.5" hidden="false" customHeight="true" outlineLevel="0" collapsed="false">
      <c r="A9" s="14" t="s">
        <v>214</v>
      </c>
      <c r="B9" s="28" t="n">
        <f aca="false">'Investment and Benefits'!$B$39</f>
        <v>-6377403.39382519</v>
      </c>
      <c r="C9" s="33"/>
      <c r="D9" s="33"/>
      <c r="E9" s="33"/>
      <c r="F9" s="33"/>
      <c r="G9" s="33"/>
      <c r="H9" s="26" t="s">
        <v>215</v>
      </c>
    </row>
    <row r="10" customFormat="false" ht="31.5" hidden="false" customHeight="true" outlineLevel="0" collapsed="false">
      <c r="A10" s="14" t="s">
        <v>216</v>
      </c>
      <c r="B10" s="28" t="n">
        <f aca="false">'Investment and Benefits'!$B$38</f>
        <v>2959238.24724276</v>
      </c>
      <c r="C10" s="33"/>
      <c r="D10" s="33"/>
      <c r="E10" s="33"/>
      <c r="F10" s="33"/>
      <c r="G10" s="33"/>
      <c r="H10" s="26" t="s">
        <v>217</v>
      </c>
    </row>
    <row r="11" customFormat="false" ht="31.5" hidden="false" customHeight="true" outlineLevel="0" collapsed="false">
      <c r="A11" s="14" t="s">
        <v>218</v>
      </c>
      <c r="B11" s="42" t="n">
        <f aca="false">IFERROR((SUM('Investment and Benefits'!$C$34:$G$34)-SUM('Investment and Benefits'!$C$16:$G$16))/SUM('Investment and Benefits'!$C$16:$G$16),"")</f>
        <v>0.41831724137931</v>
      </c>
      <c r="C11" s="33"/>
      <c r="D11" s="33"/>
      <c r="E11" s="33"/>
      <c r="F11" s="33"/>
      <c r="G11" s="33"/>
      <c r="H11" s="26" t="s">
        <v>219</v>
      </c>
    </row>
    <row r="12" customFormat="false" ht="31.5" hidden="false" customHeight="true" outlineLevel="0" collapsed="false">
      <c r="A12" s="14" t="s">
        <v>220</v>
      </c>
      <c r="B12" s="43" t="n">
        <f aca="false">IFERROR(IF('Investment and Benefits'!$C$37&gt;=0,1,IF('Investment and Benefits'!$D$37&gt;=0,2,IF('Investment and Benefits'!$E$37&gt;=0,3,IF('Investment and Benefits'!$F$37&gt;=0,4,IF('Investment and Benefits'!$G$37&gt;=0,5,"Beyond year five"))))),"")</f>
        <v>4</v>
      </c>
      <c r="C12" s="33"/>
      <c r="D12" s="33"/>
      <c r="E12" s="33"/>
      <c r="F12" s="33"/>
      <c r="G12" s="33"/>
      <c r="H12" s="26" t="s">
        <v>221</v>
      </c>
    </row>
    <row r="14" customFormat="false" ht="21.75" hidden="false" customHeight="true" outlineLevel="0" collapsed="false">
      <c r="A14" s="4" t="s">
        <v>222</v>
      </c>
      <c r="B14" s="4"/>
      <c r="C14" s="4"/>
      <c r="D14" s="4"/>
      <c r="E14" s="4"/>
      <c r="F14" s="4"/>
      <c r="G14" s="4"/>
      <c r="H14" s="4"/>
    </row>
    <row r="15" customFormat="false" ht="24" hidden="false" customHeight="true" outlineLevel="0" collapsed="false">
      <c r="A15" s="38" t="s">
        <v>223</v>
      </c>
      <c r="B15" s="38" t="s">
        <v>224</v>
      </c>
      <c r="C15" s="38"/>
      <c r="D15" s="38"/>
      <c r="E15" s="38"/>
      <c r="F15" s="38"/>
      <c r="G15" s="38"/>
      <c r="H15" s="38" t="s">
        <v>225</v>
      </c>
    </row>
    <row r="16" customFormat="false" ht="42" hidden="false" customHeight="true" outlineLevel="0" collapsed="false">
      <c r="A16" s="14" t="s">
        <v>226</v>
      </c>
      <c r="B16" s="44" t="str">
        <f aca="false">IF('Investment and Benefits'!$B$39&gt;=0,"YES. Cost reduction alone clears the hurdle rate.","NO. The case depends on expected loss avoided. Say so first.")</f>
        <v>NO. The case depends on expected loss avoided. Say so first.</v>
      </c>
      <c r="C16" s="44"/>
      <c r="D16" s="44"/>
      <c r="E16" s="33"/>
      <c r="F16" s="33"/>
      <c r="G16" s="33"/>
      <c r="H16" s="26" t="s">
        <v>227</v>
      </c>
    </row>
    <row r="17" customFormat="false" ht="42" hidden="false" customHeight="true" outlineLevel="0" collapsed="false">
      <c r="A17" s="14" t="s">
        <v>228</v>
      </c>
      <c r="B17" s="45" t="n">
        <f aca="false">IFERROR(SUM('Investment and Benefits'!$C$30:$G$30)/SUM('Investment and Benefits'!$C$34:$G$34),"")</f>
        <v>0.611973392461197</v>
      </c>
      <c r="C17" s="45"/>
      <c r="D17" s="45"/>
      <c r="E17" s="33"/>
      <c r="F17" s="33"/>
      <c r="G17" s="33"/>
      <c r="H17" s="26" t="s">
        <v>229</v>
      </c>
    </row>
    <row r="19" customFormat="false" ht="21.75" hidden="false" customHeight="true" outlineLevel="0" collapsed="false">
      <c r="A19" s="4" t="s">
        <v>230</v>
      </c>
      <c r="B19" s="4"/>
      <c r="C19" s="4"/>
      <c r="D19" s="4"/>
      <c r="E19" s="4"/>
      <c r="F19" s="4"/>
      <c r="G19" s="4"/>
      <c r="H19" s="4"/>
    </row>
    <row r="20" customFormat="false" ht="24" hidden="false" customHeight="true" outlineLevel="0" collapsed="false">
      <c r="A20" s="46" t="s">
        <v>206</v>
      </c>
      <c r="B20" s="46" t="s">
        <v>95</v>
      </c>
      <c r="C20" s="46" t="s">
        <v>98</v>
      </c>
      <c r="D20" s="46" t="s">
        <v>100</v>
      </c>
      <c r="E20" s="46"/>
      <c r="F20" s="46"/>
      <c r="G20" s="46"/>
      <c r="H20" s="46" t="s">
        <v>231</v>
      </c>
    </row>
    <row r="21" customFormat="false" ht="15" hidden="false" customHeight="true" outlineLevel="0" collapsed="false">
      <c r="A21" s="14" t="s">
        <v>121</v>
      </c>
      <c r="B21" s="47" t="n">
        <f aca="false">'Cost Per Compliant Decision'!$B$18</f>
        <v>2.65714285714286</v>
      </c>
      <c r="C21" s="47" t="n">
        <f aca="false">'Cost Per Compliant Decision'!$E$18</f>
        <v>2.33075098258583</v>
      </c>
      <c r="D21" s="47" t="n">
        <f aca="false">'Cost Per Compliant Decision'!$G$18</f>
        <v>2.24720617483274</v>
      </c>
      <c r="E21" s="33"/>
      <c r="F21" s="33"/>
      <c r="G21" s="33"/>
      <c r="H21" s="26" t="s">
        <v>232</v>
      </c>
    </row>
    <row r="22" customFormat="false" ht="15" hidden="false" customHeight="true" outlineLevel="0" collapsed="false">
      <c r="A22" s="14" t="s">
        <v>129</v>
      </c>
      <c r="B22" s="47" t="n">
        <f aca="false">'Cost Per Compliant Decision'!$B$30</f>
        <v>2.65714285714286</v>
      </c>
      <c r="C22" s="47" t="n">
        <f aca="false">'Cost Per Compliant Decision'!$E$30</f>
        <v>1.37605450544644</v>
      </c>
      <c r="D22" s="47" t="n">
        <f aca="false">'Cost Per Compliant Decision'!$G$30</f>
        <v>1.12932040000945</v>
      </c>
      <c r="E22" s="33"/>
      <c r="F22" s="33"/>
      <c r="G22" s="33"/>
      <c r="H22" s="26" t="s">
        <v>233</v>
      </c>
    </row>
    <row r="23" customFormat="false" ht="18.75" hidden="false" customHeight="true" outlineLevel="0" collapsed="false">
      <c r="A23" s="14" t="s">
        <v>234</v>
      </c>
      <c r="B23" s="48" t="n">
        <f aca="false">IFERROR(('Cost Per Compliant Decision'!$B$18-'Cost Per Compliant Decision'!$B$30)/'Cost Per Compliant Decision'!$B$18,"")</f>
        <v>0</v>
      </c>
      <c r="C23" s="48" t="n">
        <f aca="false">IFERROR(('Cost Per Compliant Decision'!$E$18-'Cost Per Compliant Decision'!$E$30)/'Cost Per Compliant Decision'!$E$18,"")</f>
        <v>0.409608956200119</v>
      </c>
      <c r="D23" s="48" t="n">
        <f aca="false">IFERROR(('Cost Per Compliant Decision'!$G$18-'Cost Per Compliant Decision'!$G$30)/'Cost Per Compliant Decision'!$G$18,"")</f>
        <v>0.497455813063747</v>
      </c>
      <c r="E23" s="33"/>
      <c r="F23" s="33"/>
      <c r="G23" s="33"/>
      <c r="H23" s="26" t="s">
        <v>235</v>
      </c>
    </row>
    <row r="25" customFormat="false" ht="21.75" hidden="false" customHeight="true" outlineLevel="0" collapsed="false">
      <c r="A25" s="4" t="s">
        <v>236</v>
      </c>
      <c r="B25" s="4"/>
      <c r="C25" s="4"/>
      <c r="D25" s="4"/>
      <c r="E25" s="4"/>
      <c r="F25" s="4"/>
      <c r="G25" s="4"/>
      <c r="H25" s="4"/>
    </row>
    <row r="26" customFormat="false" ht="24" hidden="false" customHeight="true" outlineLevel="0" collapsed="false">
      <c r="A26" s="21" t="s">
        <v>206</v>
      </c>
      <c r="B26" s="21" t="s">
        <v>35</v>
      </c>
      <c r="C26" s="21"/>
      <c r="D26" s="21"/>
      <c r="E26" s="21"/>
      <c r="F26" s="21"/>
      <c r="G26" s="21"/>
      <c r="H26" s="21" t="s">
        <v>124</v>
      </c>
    </row>
    <row r="27" customFormat="false" ht="30" hidden="false" customHeight="true" outlineLevel="0" collapsed="false">
      <c r="A27" s="14" t="s">
        <v>237</v>
      </c>
      <c r="B27" s="35" t="n">
        <f aca="false">'Investment and Benefits'!$C$34</f>
        <v>1082400</v>
      </c>
      <c r="C27" s="33"/>
      <c r="D27" s="33"/>
      <c r="E27" s="33"/>
      <c r="F27" s="33"/>
      <c r="G27" s="33"/>
      <c r="H27" s="26" t="s">
        <v>238</v>
      </c>
    </row>
    <row r="28" customFormat="false" ht="30" hidden="false" customHeight="true" outlineLevel="0" collapsed="false">
      <c r="A28" s="14" t="s">
        <v>239</v>
      </c>
      <c r="B28" s="35" t="n">
        <f aca="false">'Cost Per Compliant Decision'!$C$17-'Cost Per Compliant Decision'!$B$17</f>
        <v>4104000</v>
      </c>
      <c r="C28" s="33"/>
      <c r="D28" s="33"/>
      <c r="E28" s="33"/>
      <c r="F28" s="33"/>
      <c r="G28" s="33"/>
      <c r="H28" s="26" t="s">
        <v>240</v>
      </c>
    </row>
    <row r="29" customFormat="false" ht="30" hidden="false" customHeight="true" outlineLevel="0" collapsed="false">
      <c r="A29" s="14" t="s">
        <v>241</v>
      </c>
      <c r="B29" s="35" t="n">
        <f aca="false">'Investment and Benefits'!$C$34*'Investment and Benefits'!$C$7+('Cost Per Compliant Decision'!$C$17-'Cost Per Compliant Decision'!$B$17)*'Investment and Benefits'!$C$7</f>
        <v>4758165.13761468</v>
      </c>
      <c r="C29" s="33"/>
      <c r="D29" s="33"/>
      <c r="E29" s="33"/>
      <c r="F29" s="33"/>
      <c r="G29" s="33"/>
      <c r="H29" s="26" t="s">
        <v>242</v>
      </c>
    </row>
    <row r="31" customFormat="false" ht="21.75" hidden="false" customHeight="true" outlineLevel="0" collapsed="false">
      <c r="A31" s="4" t="s">
        <v>243</v>
      </c>
      <c r="B31" s="4"/>
      <c r="C31" s="4"/>
      <c r="D31" s="4"/>
      <c r="E31" s="4"/>
      <c r="F31" s="4"/>
      <c r="G31" s="4"/>
      <c r="H31" s="4"/>
    </row>
    <row r="32" customFormat="false" ht="33.75" hidden="false" customHeight="true" outlineLevel="0" collapsed="false">
      <c r="A32" s="14" t="s">
        <v>244</v>
      </c>
      <c r="B32" s="9" t="s">
        <v>245</v>
      </c>
      <c r="C32" s="9"/>
      <c r="D32" s="9"/>
      <c r="E32" s="9"/>
      <c r="F32" s="9"/>
      <c r="G32" s="9"/>
      <c r="H32" s="9"/>
    </row>
    <row r="33" customFormat="false" ht="33.75" hidden="false" customHeight="true" outlineLevel="0" collapsed="false">
      <c r="A33" s="14" t="s">
        <v>246</v>
      </c>
      <c r="B33" s="9" t="s">
        <v>247</v>
      </c>
      <c r="C33" s="9"/>
      <c r="D33" s="9"/>
      <c r="E33" s="9"/>
      <c r="F33" s="9"/>
      <c r="G33" s="9"/>
      <c r="H33" s="9"/>
    </row>
    <row r="34" customFormat="false" ht="33.75" hidden="false" customHeight="true" outlineLevel="0" collapsed="false">
      <c r="A34" s="14" t="s">
        <v>248</v>
      </c>
      <c r="B34" s="9" t="s">
        <v>249</v>
      </c>
      <c r="C34" s="9"/>
      <c r="D34" s="9"/>
      <c r="E34" s="9"/>
      <c r="F34" s="9"/>
      <c r="G34" s="9"/>
      <c r="H34" s="9"/>
    </row>
    <row r="35" customFormat="false" ht="33.75" hidden="false" customHeight="true" outlineLevel="0" collapsed="false">
      <c r="A35" s="14" t="s">
        <v>250</v>
      </c>
      <c r="B35" s="9" t="s">
        <v>251</v>
      </c>
      <c r="C35" s="9"/>
      <c r="D35" s="9"/>
      <c r="E35" s="9"/>
      <c r="F35" s="9"/>
      <c r="G35" s="9"/>
      <c r="H35" s="9"/>
    </row>
    <row r="36" customFormat="false" ht="33.75" hidden="false" customHeight="true" outlineLevel="0" collapsed="false">
      <c r="A36" s="14" t="s">
        <v>252</v>
      </c>
      <c r="B36" s="9" t="s">
        <v>253</v>
      </c>
      <c r="C36" s="9"/>
      <c r="D36" s="9"/>
      <c r="E36" s="9"/>
      <c r="F36" s="9"/>
      <c r="G36" s="9"/>
      <c r="H36" s="9"/>
    </row>
    <row r="38" customFormat="false" ht="15" hidden="false" customHeight="true" outlineLevel="0" collapsed="false">
      <c r="A38" s="11" t="s">
        <v>30</v>
      </c>
      <c r="B38" s="11"/>
      <c r="C38" s="11"/>
      <c r="D38" s="11"/>
      <c r="E38" s="11"/>
      <c r="F38" s="11"/>
      <c r="G38" s="11"/>
      <c r="H38" s="11"/>
    </row>
    <row r="39" customFormat="false" ht="15" hidden="false" customHeight="true" outlineLevel="0" collapsed="false">
      <c r="A39" s="11"/>
      <c r="B39" s="11"/>
      <c r="C39" s="11"/>
      <c r="D39" s="11"/>
      <c r="E39" s="11"/>
      <c r="F39" s="11"/>
      <c r="G39" s="11"/>
      <c r="H39" s="11"/>
    </row>
  </sheetData>
  <mergeCells count="30">
    <mergeCell ref="A1:H1"/>
    <mergeCell ref="A2:H2"/>
    <mergeCell ref="A4:H4"/>
    <mergeCell ref="C6:G6"/>
    <mergeCell ref="C7:G7"/>
    <mergeCell ref="C8:G8"/>
    <mergeCell ref="C9:G9"/>
    <mergeCell ref="C10:G10"/>
    <mergeCell ref="C11:G11"/>
    <mergeCell ref="C12:G12"/>
    <mergeCell ref="A14:H14"/>
    <mergeCell ref="B16:D16"/>
    <mergeCell ref="E16:G16"/>
    <mergeCell ref="B17:D17"/>
    <mergeCell ref="E17:G17"/>
    <mergeCell ref="A19:H19"/>
    <mergeCell ref="E21:G21"/>
    <mergeCell ref="E22:G22"/>
    <mergeCell ref="E23:G23"/>
    <mergeCell ref="A25:H25"/>
    <mergeCell ref="C27:G27"/>
    <mergeCell ref="C28:G28"/>
    <mergeCell ref="C29:G29"/>
    <mergeCell ref="A31:H31"/>
    <mergeCell ref="B32:H32"/>
    <mergeCell ref="B33:H33"/>
    <mergeCell ref="B34:H34"/>
    <mergeCell ref="B35:H35"/>
    <mergeCell ref="B36:H36"/>
    <mergeCell ref="A38:H39"/>
  </mergeCells>
  <printOptions headings="false" gridLines="false" gridLinesSet="true" horizontalCentered="true" verticalCentered="false"/>
  <pageMargins left="0.4" right="0.4" top="0.5" bottom="0.5" header="0.511811023622047" footer="0.25"/>
  <pageSetup paperSize="1" scale="100" fitToWidth="1" fitToHeight="0" pageOrder="downThenOver" orientation="landscape" blackAndWhite="false" draft="false" cellComments="none" horizontalDpi="300" verticalDpi="300" copies="1"/>
  <headerFooter differentFirst="false" differentOddEven="false">
    <oddHeader/>
    <oddFooter>&amp;L&amp;8 &amp;K808080When Agents Rule companion toolkit&amp;R&amp;8 &amp;K808080&amp;A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2026-09-12T21:05:43Z</dcterms:created>
  <dc:creator>openpyxl</dc:creator>
  <dc:description/>
  <dc:language>en-US</dc:language>
  <cp:lastModifiedBy/>
  <dcterms:modified xsi:type="dcterms:W3CDTF">2026-09-13T11:50:11Z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