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_rels/workbook.xml.rels" ContentType="application/vnd.openxmlformats-package.relationships+xml"/>
  <Override PartName="/xl/comments4.xml" ContentType="application/vnd.openxmlformats-officedocument.spreadsheetml.comments+xml"/>
  <Override PartName="/xl/drawings/drawing1.xml" ContentType="application/vnd.openxmlformats-officedocument.drawing+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Planning Assumptions" sheetId="2" state="visible" r:id="rId4"/>
    <sheet name="Algorithm Reference" sheetId="3" state="visible" r:id="rId5"/>
    <sheet name="Cryptographic Census" sheetId="4" state="visible" r:id="rId6"/>
    <sheet name="Data Shelf Life Test" sheetId="5" state="visible" r:id="rId7"/>
    <sheet name="Migration Dashboard" sheetId="6" state="visible" r:id="rId8"/>
  </sheets>
  <definedNames>
    <definedName function="false" hidden="false" localSheetId="2" name="_xlnm.Print_Titles" vbProcedure="false">'Algorithm Reference'!$63:$63</definedName>
    <definedName function="false" hidden="false" localSheetId="3" name="_xlnm.Print_Titles" vbProcedure="false">'Cryptographic Census'!$A:$B,'Cryptographic Census'!$4:$4</definedName>
    <definedName function="false" hidden="true" localSheetId="3" name="_xlnm._FilterDatabase" vbProcedure="false">'Cryptographic Census'!$A$4:$U$49</definedName>
    <definedName function="false" hidden="false" localSheetId="4" name="_xlnm.Print_Titles" vbProcedure="false">'Data Shelf Life Test'!$4:$4</definedName>
    <definedName function="false" hidden="false" localSheetId="5" name="_xlnm.Print_Titles" vbProcedure="false">'Migration Dashboard'!$24:$24</definedName>
    <definedName function="false" hidden="false" localSheetId="1" name="_xlnm.Print_Titles" vbProcedure="false">'Planning Assumptions'!$11:$11</definedName>
    <definedName function="false" hidden="false" localSheetId="3" name="_xlnm.Print_Titles_0" vbProcedure="false">'Cryptographic Census'!$4:$4,'Cryptographic Census'!$A:$B</definedName>
  </definedNames>
  <calcPr iterateCount="100" refMode="A1" iterate="false" iterateDelta="0.0001"/>
  <extLst>
    <ext xmlns:loext="http://schemas.libreoffice.org/" uri="{7626C862-2A13-11E5-B345-FEFF819CDC9F}">
      <loext:extCalcPr stringRefSyntax="ExcelA1"/>
    </ext>
  </extLst>
</workbook>
</file>

<file path=xl/comments4.xml><?xml version="1.0" encoding="utf-8"?>
<comments xmlns="http://schemas.openxmlformats.org/spreadsheetml/2006/main" xmlns:xdr="http://schemas.openxmlformats.org/drawingml/2006/spreadsheetDrawing">
  <authors>
    <author>Unknown Author</author>
  </authors>
  <commentList>
    <comment ref="G4" authorId="0">
      <text>
        <r>
          <rPr>
            <sz val="10"/>
            <rFont val="Arial"/>
            <family val="2"/>
          </rPr>
          <t xml:space="preserve">Pick from the dropdown so the status, replacement and scoring formulas resolve. If the algorithm is not listed, enter Unknown and record the detail in the Notes column. Unknown scores as worst case on purpose.</t>
        </r>
      </text>
    </comment>
    <comment ref="I4" authorId="0">
      <text>
        <r>
          <rPr>
            <sz val="10"/>
            <rFont val="Arial"/>
            <family val="2"/>
          </rPr>
          <t xml:space="preserve">The last year this data must remain confidential. Use the regulatory retention period, the contractual obligation, or the lifetime of the person the data describes, whichever is longest. Medical, actuarial, legal and identity data routinely exceed forty years.</t>
        </r>
      </text>
    </comment>
    <comment ref="R4" authorId="0">
      <text>
        <r>
          <rPr>
            <sz val="10"/>
            <rFont val="Arial"/>
            <family val="2"/>
          </rPr>
          <t xml:space="preserve">Applies the shelf life test. EXPOSED means the years this data must stay confidential plus your assumed migration duration already exceed the years until your quantum planning date, and the algorithm protecting it falls to a quantum attack. Data in this state is exposed today, not in the future.</t>
        </r>
      </text>
    </comment>
  </commentList>
</comments>
</file>

<file path=xl/sharedStrings.xml><?xml version="1.0" encoding="utf-8"?>
<sst xmlns="http://schemas.openxmlformats.org/spreadsheetml/2006/main" count="333" uniqueCount="272">
  <si>
    <t xml:space="preserve">CRYPTOGRAPHIC CENSUS AND QUANTUM MIGRATION WORKBOOK</t>
  </si>
  <si>
    <t xml:space="preserve">Companion instrument 02 of the When Agents Rule toolkit. Inventory every cryptographic dependency, score its quantum exposure, and assign it to a migration wave you can defend to a regulator.</t>
  </si>
  <si>
    <t xml:space="preserve">WHAT THIS WORKBOOK DOES</t>
  </si>
  <si>
    <t xml:space="preserve">You cannot migrate cryptography you have not found. This workbook is the finding instrument and the prioritisation instrument in one file.</t>
  </si>
  <si>
    <t xml:space="preserve">The census tab records every place cryptography is used. The reference tab tells you which algorithms fall to a quantum computer and what replaces them. The exposure calculator applies the shelf life test: if the years your data must stay confidential plus the years your migration will take exceed the years until a cryptographically relevant quantum computer arrives, that data is already exposed today.</t>
  </si>
  <si>
    <t xml:space="preserve">The output is a wave assignment per asset. Wave 1 is what you fund this budget cycle. Everything else has a defensible reason for waiting.</t>
  </si>
  <si>
    <t xml:space="preserve">WHERE TO START</t>
  </si>
  <si>
    <t xml:space="preserve">Step 1</t>
  </si>
  <si>
    <t xml:space="preserve">Open Planning Assumptions and set your quantum planning horizon. The default is a 2032 planning date. Every priority score in this workbook moves when you change that one cell, which is the point.</t>
  </si>
  <si>
    <t xml:space="preserve">Step 2</t>
  </si>
  <si>
    <t xml:space="preserve">Fill the Cryptographic Census tab. Start with anything public facing and anything that protects data with a confidentiality requirement past 2035. Those two categories produce most of your Wave 1.</t>
  </si>
  <si>
    <t xml:space="preserve">Step 3</t>
  </si>
  <si>
    <t xml:space="preserve">Complete the Data Shelf Life Test for your major data classes. This is the exhibit that makes the harvest now, decrypt later argument concrete for a CFO.</t>
  </si>
  <si>
    <t xml:space="preserve">Step 4</t>
  </si>
  <si>
    <t xml:space="preserve">Read the Migration Dashboard. It gives you wave counts, the assets with no vendor commitment, and the assets that cannot be migrated without hardware replacement.</t>
  </si>
  <si>
    <t xml:space="preserve">Step 5</t>
  </si>
  <si>
    <t xml:space="preserve">Send the Vendor PQC Assessment Questionnaire (instrument 05) to every vendor showing No response or Unknown in column N.</t>
  </si>
  <si>
    <t xml:space="preserve">HOW TO USE THIS WORKBOOK</t>
  </si>
  <si>
    <t xml:space="preserve">Pale yellow cells with blue text</t>
  </si>
  <si>
    <t xml:space="preserve">You fill these in. Every other cell is a formula or reference.</t>
  </si>
  <si>
    <t xml:space="preserve">Grey cells</t>
  </si>
  <si>
    <t xml:space="preserve">Calculated. Do not overwrite; they will recalculate as you enter data.</t>
  </si>
  <si>
    <t xml:space="preserve">Row 'EXAMPLE'</t>
  </si>
  <si>
    <t xml:space="preserve">A sample row showing the expected format. Delete it before you publish.</t>
  </si>
  <si>
    <t xml:space="preserve">Dropdown cells</t>
  </si>
  <si>
    <t xml:space="preserve">Click the cell and choose from the list so the scoring formulas resolve.</t>
  </si>
  <si>
    <t xml:space="preserve">HOW THIS RELATES TO THE BOOK</t>
  </si>
  <si>
    <t xml:space="preserve">The threat model, the economics of delay, and the five year migration structure are set out in When Agents Rule, Chapters 2, 6, 11 and 13. This workbook is the blank register those chapters describe. Regulatory dates and algorithm status in the reference tab were current at the September 2026 build date and should be reverified against NIST, NSA and your own regulators before you brief an executive committee.</t>
  </si>
  <si>
    <t xml:space="preserve">Companion toolkit for WHEN AGENTS RULE by Steven Oppenheim. Free for internal use inside your own organization. Not legal, technical, or financial advice. Verify all regulatory dates against primary sources before relying on them.</t>
  </si>
  <si>
    <t xml:space="preserve">PLANNING ASSUMPTIONS</t>
  </si>
  <si>
    <t xml:space="preserve">Four numbers drive every score in this workbook. Change them here, not in the formulas.</t>
  </si>
  <si>
    <t xml:space="preserve">Assumption</t>
  </si>
  <si>
    <t xml:space="preserve">Value</t>
  </si>
  <si>
    <t xml:space="preserve">Unit</t>
  </si>
  <si>
    <t xml:space="preserve">Basis and source</t>
  </si>
  <si>
    <t xml:space="preserve">Current planning year</t>
  </si>
  <si>
    <t xml:space="preserve">year</t>
  </si>
  <si>
    <t xml:space="preserve">Set to the year you are doing this exercise. Drives all shelf life maths.</t>
  </si>
  <si>
    <t xml:space="preserve">Quantum planning date (CRQC)</t>
  </si>
  <si>
    <t xml:space="preserve">Your planning assumption for when a cryptographically relevant quantum computer exists. Published estimates cluster between 2030 and 2035 and carry wide uncertainty. Choosing a date is a governance decision, not a physics prediction. Document who approved it.</t>
  </si>
  <si>
    <t xml:space="preserve">Assumed enterprise migration duration</t>
  </si>
  <si>
    <t xml:space="preserve">years</t>
  </si>
  <si>
    <t xml:space="preserve">How long your full cryptographic migration will realistically take end to end. Published guidance commonly assumes a ten year horizon for large estates; six is a defensible planning figure for a focused programme with executive backing.</t>
  </si>
  <si>
    <t xml:space="preserve">Harvest assumption start year</t>
  </si>
  <si>
    <t xml:space="preserve">The year from which you assume adversaries may already have captured traffic. Anything encrypted since this date and still sensitive is in scope for the shelf life test.</t>
  </si>
  <si>
    <t xml:space="preserve">DERIVED PLANNING NUMBERS</t>
  </si>
  <si>
    <t xml:space="preserve">Derived value</t>
  </si>
  <si>
    <t xml:space="preserve">Why it matters</t>
  </si>
  <si>
    <t xml:space="preserve">Years until quantum planning date</t>
  </si>
  <si>
    <t xml:space="preserve">The z term in the shelf life test.</t>
  </si>
  <si>
    <t xml:space="preserve">Latest defensible migration start year</t>
  </si>
  <si>
    <t xml:space="preserve">If this year is in the past, your migration is already behind its own plan.</t>
  </si>
  <si>
    <t xml:space="preserve">Years of traffic potentially already captured</t>
  </si>
  <si>
    <t xml:space="preserve">The volume of historic traffic that a future decryption capability could read. This number only grows.</t>
  </si>
  <si>
    <t xml:space="preserve">Migration slack remaining</t>
  </si>
  <si>
    <t xml:space="preserve">Negative means you cannot finish before your own planning date. That is the number to put in front of a board.</t>
  </si>
  <si>
    <t xml:space="preserve">ALGORITHM STATUS AND REPLACEMENT REFERENCE</t>
  </si>
  <si>
    <t xml:space="preserve">Status as at the September 2026 build date. Reverify against NIST and NSA publications before using this in a regulatory filing or board paper.</t>
  </si>
  <si>
    <t xml:space="preserve">Algorithm in use</t>
  </si>
  <si>
    <t xml:space="preserve">Family</t>
  </si>
  <si>
    <t xml:space="preserve">Quantum status</t>
  </si>
  <si>
    <t xml:space="preserve">Standards aligned replacement</t>
  </si>
  <si>
    <t xml:space="preserve">Vulnerability points</t>
  </si>
  <si>
    <t xml:space="preserve">RSA 1024</t>
  </si>
  <si>
    <t xml:space="preserve">Public key</t>
  </si>
  <si>
    <t xml:space="preserve">Broken by Shor. Already below classical strength floors.</t>
  </si>
  <si>
    <t xml:space="preserve">ML-KEM or ML-DSA per purpose</t>
  </si>
  <si>
    <t xml:space="preserve">RSA 2048</t>
  </si>
  <si>
    <t xml:space="preserve">Broken by Shor. Standard enterprise default today.</t>
  </si>
  <si>
    <t xml:space="preserve">ML-KEM 768 (KEM) or ML-DSA 65 (signature)</t>
  </si>
  <si>
    <t xml:space="preserve">RSA 3072 or 4096</t>
  </si>
  <si>
    <t xml:space="preserve">Broken by Shor. Larger keys do not help against Shor.</t>
  </si>
  <si>
    <t xml:space="preserve">ML-KEM 1024 or ML-DSA 87</t>
  </si>
  <si>
    <t xml:space="preserve">ECDSA P 256</t>
  </si>
  <si>
    <t xml:space="preserve">Broken by Shor.</t>
  </si>
  <si>
    <t xml:space="preserve">ML-DSA 65, or SLH-DSA where signature longevity matters</t>
  </si>
  <si>
    <t xml:space="preserve">ECDSA P 384 or P 521</t>
  </si>
  <si>
    <t xml:space="preserve">ML-DSA 87 or SLH-DSA</t>
  </si>
  <si>
    <t xml:space="preserve">ECDH or ECDHE P 256</t>
  </si>
  <si>
    <t xml:space="preserve">Key exchange</t>
  </si>
  <si>
    <t xml:space="preserve">Broken by Shor. The key exchange path is the harvest now target.</t>
  </si>
  <si>
    <t xml:space="preserve">Hybrid X25519 with ML-KEM 768, then ML-KEM only</t>
  </si>
  <si>
    <t xml:space="preserve">X25519</t>
  </si>
  <si>
    <t xml:space="preserve">Hybrid X25519 with ML-KEM 768</t>
  </si>
  <si>
    <t xml:space="preserve">DSA or Diffie Hellman (finite field)</t>
  </si>
  <si>
    <t xml:space="preserve">Broken by Shor. Also legacy by classical standards.</t>
  </si>
  <si>
    <t xml:space="preserve">ML-DSA or ML-KEM per purpose</t>
  </si>
  <si>
    <t xml:space="preserve">Ed25519</t>
  </si>
  <si>
    <t xml:space="preserve">ML-DSA 65 or SLH-DSA</t>
  </si>
  <si>
    <t xml:space="preserve">3DES</t>
  </si>
  <si>
    <t xml:space="preserve">Symmetric</t>
  </si>
  <si>
    <t xml:space="preserve">Deprecated on classical grounds regardless of quantum.</t>
  </si>
  <si>
    <t xml:space="preserve">AES 256 GCM</t>
  </si>
  <si>
    <t xml:space="preserve">RC4</t>
  </si>
  <si>
    <t xml:space="preserve">Broken classically. Should already be gone.</t>
  </si>
  <si>
    <t xml:space="preserve">AES 128</t>
  </si>
  <si>
    <t xml:space="preserve">Weakened by Grover. Effective strength reduced, not broken.</t>
  </si>
  <si>
    <t xml:space="preserve">AES 256 for data with long confidentiality needs</t>
  </si>
  <si>
    <t xml:space="preserve">AES 192</t>
  </si>
  <si>
    <t xml:space="preserve">Weakened by Grover. Acceptable for most horizons.</t>
  </si>
  <si>
    <t xml:space="preserve">AES 256 where shelf life exceeds fifteen years</t>
  </si>
  <si>
    <t xml:space="preserve">AES 256</t>
  </si>
  <si>
    <t xml:space="preserve">Considered quantum resistant for confidentiality.</t>
  </si>
  <si>
    <t xml:space="preserve">No change needed. Confirm mode and key management.</t>
  </si>
  <si>
    <t xml:space="preserve">SHA 1</t>
  </si>
  <si>
    <t xml:space="preserve">Hash</t>
  </si>
  <si>
    <t xml:space="preserve">SHA 384 or SHA 3 384</t>
  </si>
  <si>
    <t xml:space="preserve">SHA 256</t>
  </si>
  <si>
    <t xml:space="preserve">Reduced margin under Grover but widely accepted.</t>
  </si>
  <si>
    <t xml:space="preserve">SHA 384 where long term integrity is required</t>
  </si>
  <si>
    <t xml:space="preserve">SHA 384 or SHA 512</t>
  </si>
  <si>
    <t xml:space="preserve">Considered adequate against known quantum attacks.</t>
  </si>
  <si>
    <t xml:space="preserve">No change needed.</t>
  </si>
  <si>
    <t xml:space="preserve">ML-KEM (FIPS 203)</t>
  </si>
  <si>
    <t xml:space="preserve">PQC key exchange</t>
  </si>
  <si>
    <t xml:space="preserve">Quantum resistant. NIST standard.</t>
  </si>
  <si>
    <t xml:space="preserve">No change needed. Track parameter guidance.</t>
  </si>
  <si>
    <t xml:space="preserve">ML-DSA (FIPS 204)</t>
  </si>
  <si>
    <t xml:space="preserve">PQC signature</t>
  </si>
  <si>
    <t xml:space="preserve">SLH-DSA (FIPS 205)</t>
  </si>
  <si>
    <t xml:space="preserve">Quantum resistant. NIST standard. Larger signatures.</t>
  </si>
  <si>
    <t xml:space="preserve">No change needed. Suited to firmware and long lived signing.</t>
  </si>
  <si>
    <t xml:space="preserve">Hybrid classical with ML-KEM</t>
  </si>
  <si>
    <t xml:space="preserve">Hybrid</t>
  </si>
  <si>
    <t xml:space="preserve">Quantum resistant for key exchange while retaining interoperability.</t>
  </si>
  <si>
    <t xml:space="preserve">Target state for transport during transition.</t>
  </si>
  <si>
    <t xml:space="preserve">Proprietary or vendor undisclosed</t>
  </si>
  <si>
    <t xml:space="preserve">Unknown</t>
  </si>
  <si>
    <t xml:space="preserve">Cannot be assessed. Treat as worst case until the vendor discloses.</t>
  </si>
  <si>
    <t xml:space="preserve">Require disclosure in the next contract cycle.</t>
  </si>
  <si>
    <t xml:space="preserve">Not yet identified. Treat as worst case.</t>
  </si>
  <si>
    <t xml:space="preserve">Identify before assigning a migration wave.</t>
  </si>
  <si>
    <t xml:space="preserve">Larger RSA and elliptic curve keys do not defend against Shor's algorithm. They raise the size of the quantum computer required, not the difficulty class of the problem. This is the single most common misunderstanding in cryptographic inventories, and it produces plans that migrate key length instead of migrating algorithm family.</t>
  </si>
  <si>
    <t xml:space="preserve">SCORING TABLES USED BY THE CENSUS</t>
  </si>
  <si>
    <t xml:space="preserve">Dimension</t>
  </si>
  <si>
    <t xml:space="preserve">Answer</t>
  </si>
  <si>
    <t xml:space="preserve">Points</t>
  </si>
  <si>
    <t xml:space="preserve">Shelf life</t>
  </si>
  <si>
    <t xml:space="preserve">0 to 2 years</t>
  </si>
  <si>
    <t xml:space="preserve">3 to 5 years</t>
  </si>
  <si>
    <t xml:space="preserve">6 to 10 years</t>
  </si>
  <si>
    <t xml:space="preserve">11 to 20 years</t>
  </si>
  <si>
    <t xml:space="preserve">Over 20 years or permanent</t>
  </si>
  <si>
    <t xml:space="preserve">Migration effort</t>
  </si>
  <si>
    <t xml:space="preserve">Low, configuration only</t>
  </si>
  <si>
    <t xml:space="preserve">Medium, code or certificate change</t>
  </si>
  <si>
    <t xml:space="preserve">High, architecture change</t>
  </si>
  <si>
    <t xml:space="preserve">Very high, vendor or hardware dependent</t>
  </si>
  <si>
    <t xml:space="preserve">Crypto agility</t>
  </si>
  <si>
    <t xml:space="preserve">Configurable without code change</t>
  </si>
  <si>
    <t xml:space="preserve">Code change required</t>
  </si>
  <si>
    <t xml:space="preserve">Firmware update required</t>
  </si>
  <si>
    <t xml:space="preserve">Hardware replacement required</t>
  </si>
  <si>
    <t xml:space="preserve">Vendor PQC position</t>
  </si>
  <si>
    <t xml:space="preserve">Committed date published</t>
  </si>
  <si>
    <t xml:space="preserve">Roadmap with no date</t>
  </si>
  <si>
    <t xml:space="preserve">No response received</t>
  </si>
  <si>
    <t xml:space="preserve">Not applicable, internally built</t>
  </si>
  <si>
    <t xml:space="preserve">Regulatory driver</t>
  </si>
  <si>
    <t xml:space="preserve">CNSA 2.0 national security systems</t>
  </si>
  <si>
    <t xml:space="preserve">US federal executive order</t>
  </si>
  <si>
    <t xml:space="preserve">DORA financial sector</t>
  </si>
  <si>
    <t xml:space="preserve">NIS2 critical infrastructure</t>
  </si>
  <si>
    <t xml:space="preserve">Other sector regulation</t>
  </si>
  <si>
    <t xml:space="preserve">Contractual customer requirement</t>
  </si>
  <si>
    <t xml:space="preserve">None identified</t>
  </si>
  <si>
    <t xml:space="preserve">MIGRATION WAVE THRESHOLDS</t>
  </si>
  <si>
    <t xml:space="preserve">Minimum score</t>
  </si>
  <si>
    <t xml:space="preserve">Wave</t>
  </si>
  <si>
    <t xml:space="preserve">What the wave means</t>
  </si>
  <si>
    <t xml:space="preserve">Wave 4: by 2033</t>
  </si>
  <si>
    <t xml:space="preserve">Low exposure. Migrate on the natural refresh cycle. Track, do not fund separately.</t>
  </si>
  <si>
    <t xml:space="preserve">Wave 3: 2029 to 2031</t>
  </si>
  <si>
    <t xml:space="preserve">Migrate during planned platform work. Budget in the outer years.</t>
  </si>
  <si>
    <t xml:space="preserve">Wave 2: 2027 to 2029</t>
  </si>
  <si>
    <t xml:space="preserve">Scheduled programme work. Needs a named owner and a funded plan now.</t>
  </si>
  <si>
    <t xml:space="preserve">Wave 1: 2026 to 2027</t>
  </si>
  <si>
    <t xml:space="preserve">Fund this budget cycle. Either the data outlives the encryption or a regulator has already set the date.</t>
  </si>
  <si>
    <t xml:space="preserve">CRYPTOGRAPHIC CENSUS REGISTER</t>
  </si>
  <si>
    <t xml:space="preserve">One row per cryptographic dependency. Columns A to M you fill in. Columns N to T calculate. Aim for breadth before depth: an incomplete census that covers the whole estate beats a perfect census of one platform.</t>
  </si>
  <si>
    <t xml:space="preserve">Asset ID</t>
  </si>
  <si>
    <t xml:space="preserve">System or asset name</t>
  </si>
  <si>
    <t xml:space="preserve">Business owner (named person)</t>
  </si>
  <si>
    <t xml:space="preserve">Technical owner</t>
  </si>
  <si>
    <t xml:space="preserve">Asset type</t>
  </si>
  <si>
    <t xml:space="preserve">Vendor or product</t>
  </si>
  <si>
    <t xml:space="preserve">Cryptographic purpose</t>
  </si>
  <si>
    <t xml:space="preserve">Confidentiality required until (year)</t>
  </si>
  <si>
    <t xml:space="preserve">Shelf life (years)</t>
  </si>
  <si>
    <t xml:space="preserve">Shelf life band</t>
  </si>
  <si>
    <t xml:space="preserve">Harvest now decrypt later exposure</t>
  </si>
  <si>
    <t xml:space="preserve">Migration priority score</t>
  </si>
  <si>
    <t xml:space="preserve">Migration wave</t>
  </si>
  <si>
    <t xml:space="preserve">Notes and action</t>
  </si>
  <si>
    <t xml:space="preserve">CR-001</t>
  </si>
  <si>
    <t xml:space="preserve">Customer portal public TLS termination</t>
  </si>
  <si>
    <t xml:space="preserve">L. Fontaine, Digital Channels</t>
  </si>
  <si>
    <t xml:space="preserve">R. Nakamura, Network Engineering</t>
  </si>
  <si>
    <t xml:space="preserve">Public TLS endpoint</t>
  </si>
  <si>
    <t xml:space="preserve">Load balancer appliance, vendor firmware</t>
  </si>
  <si>
    <t xml:space="preserve">EXAMPLE ROW. Delete before publishing. Appliance reaches end of support in 2028; PQC support depends on a firmware release the vendor has not dated.</t>
  </si>
  <si>
    <t xml:space="preserve">DATA SHELF LIFE TEST</t>
  </si>
  <si>
    <t xml:space="preserve">The board exhibit. For each major data class, does the confidentiality requirement plus the migration duration exceed the time remaining until your quantum planning date?</t>
  </si>
  <si>
    <t xml:space="preserve">Data class</t>
  </si>
  <si>
    <t xml:space="preserve">Confidentiality required (years)</t>
  </si>
  <si>
    <t xml:space="preserve">Class specific migration duration (years)</t>
  </si>
  <si>
    <t xml:space="preserve">Encrypted since</t>
  </si>
  <si>
    <t xml:space="preserve">Confidentiality expires</t>
  </si>
  <si>
    <t xml:space="preserve">Protection margin (years)</t>
  </si>
  <si>
    <t xml:space="preserve">Verdict</t>
  </si>
  <si>
    <t xml:space="preserve">Consequence if the assumption is wrong</t>
  </si>
  <si>
    <t xml:space="preserve">Customer identity and KYC records</t>
  </si>
  <si>
    <t xml:space="preserve">Payment and card data</t>
  </si>
  <si>
    <t xml:space="preserve">Employee HR and medical records</t>
  </si>
  <si>
    <t xml:space="preserve">Intellectual property and source code</t>
  </si>
  <si>
    <t xml:space="preserve">Board and M&amp;A material</t>
  </si>
  <si>
    <t xml:space="preserve">Contracts and legal privilege</t>
  </si>
  <si>
    <t xml:space="preserve">Regulatory filings and audit evidence</t>
  </si>
  <si>
    <t xml:space="preserve">Operational telemetry</t>
  </si>
  <si>
    <t xml:space="preserve">Data classes exposed today</t>
  </si>
  <si>
    <t xml:space="preserve">Confidentiality outlasts the protection. Encrypted traffic captured now becomes readable while it still matters.</t>
  </si>
  <si>
    <t xml:space="preserve">Data classes marginal</t>
  </si>
  <si>
    <t xml:space="preserve">Two years or less of slack. A single slipped programme year moves these into exposed.</t>
  </si>
  <si>
    <t xml:space="preserve">Worst margin in the estate (years)</t>
  </si>
  <si>
    <t xml:space="preserve">The single number to put on a board slide. Negative means the gap already exists.</t>
  </si>
  <si>
    <t xml:space="preserve">Weighted average margin (years)</t>
  </si>
  <si>
    <t xml:space="preserve">Useful only as a trend across quarters as the programme advances.</t>
  </si>
  <si>
    <t xml:space="preserve">How to read the margin. It is the years remaining until your quantum planning date, minus the years the data must stay confidential, minus the years this class will take to migrate. Positive means you can finish in time. Negative means the exposure already exists and no amount of future effort closes it retroactively, because traffic captured today cannot be un-captured.</t>
  </si>
  <si>
    <t xml:space="preserve">With the shipped default assumptions most classes come out negative. That is the finding, not a flaw in the model. Replace the default years with your own retention obligations and your own programme estimates, then change the quantum planning date on the Planning Assumptions tab and watch which classes move. The classes that stay negative across every reasonable assumption are the ones that justify Wave 1 funding.</t>
  </si>
  <si>
    <t xml:space="preserve">MIGRATION DASHBOARD</t>
  </si>
  <si>
    <t xml:space="preserve">Calculated from the Cryptographic Census tab. No inputs on this sheet.</t>
  </si>
  <si>
    <t xml:space="preserve">CENSUS COVERAGE AND EXPOSURE</t>
  </si>
  <si>
    <t xml:space="preserve">Measure</t>
  </si>
  <si>
    <t xml:space="preserve">What it tells you</t>
  </si>
  <si>
    <t xml:space="preserve">Cryptographic assets recorded</t>
  </si>
  <si>
    <t xml:space="preserve">Your census breadth. Compare against your CMDB asset count to estimate coverage.</t>
  </si>
  <si>
    <t xml:space="preserve">Assets with unknown algorithm</t>
  </si>
  <si>
    <t xml:space="preserve">Every one of these is a blind spot. Resolve before you claim a complete census.</t>
  </si>
  <si>
    <t xml:space="preserve">Assets flagged EXPOSED</t>
  </si>
  <si>
    <t xml:space="preserve">The harvest now decrypt later population. This is your headline number for a board.</t>
  </si>
  <si>
    <t xml:space="preserve">Assets needing hardware replacement</t>
  </si>
  <si>
    <t xml:space="preserve">These have the longest lead time and the largest capital requirement. Start procurement first.</t>
  </si>
  <si>
    <t xml:space="preserve">Assets with no vendor PQC commitment</t>
  </si>
  <si>
    <t xml:space="preserve">Your migration timeline is capped by these vendors. Escalate commercially, not technically.</t>
  </si>
  <si>
    <t xml:space="preserve">Assets under a regulatory deadline</t>
  </si>
  <si>
    <t xml:space="preserve">The subset where the date is set by someone other than you.</t>
  </si>
  <si>
    <t xml:space="preserve">Assets with no named business owner</t>
  </si>
  <si>
    <t xml:space="preserve">Unowned cryptography does not get migrated. It gets discovered during an incident.</t>
  </si>
  <si>
    <t xml:space="preserve">Highest priority score in the estate</t>
  </si>
  <si>
    <t xml:space="preserve">Twenty eight is the ceiling. Twenty and above is Wave 1.</t>
  </si>
  <si>
    <t xml:space="preserve">WAVE ASSIGNMENT</t>
  </si>
  <si>
    <t xml:space="preserve">Assets</t>
  </si>
  <si>
    <t xml:space="preserve">Share</t>
  </si>
  <si>
    <t xml:space="preserve">Of which EXPOSED</t>
  </si>
  <si>
    <t xml:space="preserve">Budget implication</t>
  </si>
  <si>
    <t xml:space="preserve">Current budget cycle. Named owner and funded plan required now.</t>
  </si>
  <si>
    <t xml:space="preserve">Next two planning cycles. Include in the multi year capital plan.</t>
  </si>
  <si>
    <t xml:space="preserve">Outer years. Align to platform refresh.</t>
  </si>
  <si>
    <t xml:space="preserve">Natural refresh cycle. Track only.</t>
  </si>
  <si>
    <t xml:space="preserve">ASSET TYPE CONCENTRATION</t>
  </si>
  <si>
    <t xml:space="preserve">Count</t>
  </si>
  <si>
    <t xml:space="preserve">EXPOSED</t>
  </si>
  <si>
    <t xml:space="preserve">Internal TLS service</t>
  </si>
  <si>
    <t xml:space="preserve">VPN or tunnel</t>
  </si>
  <si>
    <t xml:space="preserve">Code or artefact signing</t>
  </si>
  <si>
    <t xml:space="preserve">Firmware signing</t>
  </si>
  <si>
    <t xml:space="preserve">Public key infrastructure or CA</t>
  </si>
  <si>
    <t xml:space="preserve">Hardware security module</t>
  </si>
  <si>
    <t xml:space="preserve">Database encryption at rest</t>
  </si>
  <si>
    <t xml:space="preserve">Backup and archive</t>
  </si>
  <si>
    <t xml:space="preserve">Operational technology or embedded device</t>
  </si>
  <si>
    <t xml:space="preserve">Third party API integration</t>
  </si>
</sst>
</file>

<file path=xl/styles.xml><?xml version="1.0" encoding="utf-8"?>
<styleSheet xmlns="http://schemas.openxmlformats.org/spreadsheetml/2006/main">
  <numFmts count="5">
    <numFmt numFmtId="164" formatCode="General"/>
    <numFmt numFmtId="165" formatCode="0"/>
    <numFmt numFmtId="166" formatCode="0;\(0\);\-"/>
    <numFmt numFmtId="167" formatCode="#,##0"/>
    <numFmt numFmtId="168" formatCode="0.0%"/>
  </numFmts>
  <fonts count="22">
    <font>
      <sz val="11"/>
      <color theme="1"/>
      <name val="Calibri"/>
      <family val="2"/>
      <charset val="1"/>
    </font>
    <font>
      <sz val="10"/>
      <name val="Arial"/>
      <family val="0"/>
    </font>
    <font>
      <sz val="10"/>
      <name val="Arial"/>
      <family val="0"/>
    </font>
    <font>
      <sz val="10"/>
      <name val="Arial"/>
      <family val="0"/>
    </font>
    <font>
      <b val="true"/>
      <sz val="15"/>
      <color rgb="FFFFFFFF"/>
      <name val="Arial"/>
      <family val="0"/>
      <charset val="1"/>
    </font>
    <font>
      <i val="true"/>
      <sz val="9.5"/>
      <color rgb="FF1A2A3A"/>
      <name val="Arial"/>
      <family val="0"/>
      <charset val="1"/>
    </font>
    <font>
      <b val="true"/>
      <sz val="10.5"/>
      <color rgb="FF1A2A3A"/>
      <name val="Arial"/>
      <family val="0"/>
      <charset val="1"/>
    </font>
    <font>
      <sz val="10"/>
      <name val="Arial"/>
      <family val="0"/>
      <charset val="1"/>
    </font>
    <font>
      <b val="true"/>
      <sz val="10"/>
      <color rgb="FF000000"/>
      <name val="Arial"/>
      <family val="0"/>
      <charset val="1"/>
    </font>
    <font>
      <sz val="9.5"/>
      <color rgb="FF000000"/>
      <name val="Arial"/>
      <family val="0"/>
      <charset val="1"/>
    </font>
    <font>
      <b val="true"/>
      <sz val="9"/>
      <color rgb="FF000000"/>
      <name val="Arial"/>
      <family val="0"/>
      <charset val="1"/>
    </font>
    <font>
      <sz val="9"/>
      <color rgb="FF000000"/>
      <name val="Arial"/>
      <family val="0"/>
      <charset val="1"/>
    </font>
    <font>
      <i val="true"/>
      <sz val="9.5"/>
      <name val="Arial"/>
      <family val="0"/>
      <charset val="1"/>
    </font>
    <font>
      <i val="true"/>
      <sz val="8"/>
      <color rgb="FF475569"/>
      <name val="Arial"/>
      <family val="0"/>
      <charset val="1"/>
    </font>
    <font>
      <b val="true"/>
      <sz val="9"/>
      <color rgb="FFFFFFFF"/>
      <name val="Arial"/>
      <family val="0"/>
      <charset val="1"/>
    </font>
    <font>
      <b val="true"/>
      <sz val="9.5"/>
      <color rgb="FF000000"/>
      <name val="Arial"/>
      <family val="0"/>
      <charset val="1"/>
    </font>
    <font>
      <sz val="9.5"/>
      <color rgb="FF0000FF"/>
      <name val="Arial"/>
      <family val="0"/>
      <charset val="1"/>
    </font>
    <font>
      <i val="true"/>
      <sz val="8.5"/>
      <color rgb="FF555555"/>
      <name val="Arial"/>
      <family val="0"/>
      <charset val="1"/>
    </font>
    <font>
      <i val="true"/>
      <sz val="9.5"/>
      <color rgb="FF0000FF"/>
      <name val="Arial"/>
      <family val="0"/>
      <charset val="1"/>
    </font>
    <font>
      <sz val="10"/>
      <name val="Arial"/>
      <family val="2"/>
    </font>
    <font>
      <b val="true"/>
      <sz val="9.5"/>
      <color rgb="FF0000FF"/>
      <name val="Arial"/>
      <family val="0"/>
      <charset val="1"/>
    </font>
    <font>
      <sz val="8.5"/>
      <color rgb="FF000000"/>
      <name val="Arial"/>
      <family val="0"/>
      <charset val="1"/>
    </font>
  </fonts>
  <fills count="12">
    <fill>
      <patternFill patternType="none"/>
    </fill>
    <fill>
      <patternFill patternType="gray125"/>
    </fill>
    <fill>
      <patternFill patternType="solid">
        <fgColor rgb="FFB91C1C"/>
        <bgColor rgb="FF922B21"/>
      </patternFill>
    </fill>
    <fill>
      <patternFill patternType="solid">
        <fgColor rgb="FFF5F7FA"/>
        <bgColor rgb="FFEEF2F7"/>
      </patternFill>
    </fill>
    <fill>
      <patternFill patternType="solid">
        <fgColor rgb="FFF7EFD3"/>
        <bgColor rgb="FFFDF2D0"/>
      </patternFill>
    </fill>
    <fill>
      <patternFill patternType="solid">
        <fgColor rgb="FFC9A227"/>
        <bgColor rgb="FF99CC00"/>
      </patternFill>
    </fill>
    <fill>
      <patternFill patternType="solid">
        <fgColor rgb="FF1A2A3A"/>
        <bgColor rgb="FF003366"/>
      </patternFill>
    </fill>
    <fill>
      <patternFill patternType="solid">
        <fgColor rgb="FFFFF9DB"/>
        <bgColor rgb="FFFDF2D0"/>
      </patternFill>
    </fill>
    <fill>
      <patternFill patternType="solid">
        <fgColor rgb="FFEEF2F7"/>
        <bgColor rgb="FFF5F7FA"/>
      </patternFill>
    </fill>
    <fill>
      <patternFill patternType="solid">
        <fgColor rgb="FFFADBD8"/>
        <bgColor rgb="FFF7EFD3"/>
      </patternFill>
    </fill>
    <fill>
      <patternFill patternType="solid">
        <fgColor rgb="FFFDF2D0"/>
        <bgColor rgb="FFF7EFD3"/>
      </patternFill>
    </fill>
    <fill>
      <patternFill patternType="solid">
        <fgColor rgb="FF059669"/>
        <bgColor rgb="FF008080"/>
      </patternFill>
    </fill>
  </fills>
  <borders count="4">
    <border diagonalUp="false" diagonalDown="false">
      <left/>
      <right/>
      <top/>
      <bottom/>
      <diagonal/>
    </border>
    <border diagonalUp="false" diagonalDown="false">
      <left style="thin">
        <color rgb="FFC8CDD4"/>
      </left>
      <right style="thin">
        <color rgb="FFC8CDD4"/>
      </right>
      <top style="thin">
        <color rgb="FFC8CDD4"/>
      </top>
      <bottom style="thin">
        <color rgb="FFC8CDD4"/>
      </bottom>
      <diagonal/>
    </border>
    <border diagonalUp="false" diagonalDown="false">
      <left style="thin">
        <color rgb="FFC8CDD4"/>
      </left>
      <right/>
      <top style="thin">
        <color rgb="FFC8CDD4"/>
      </top>
      <bottom style="thin">
        <color rgb="FFC8CDD4"/>
      </bottom>
      <diagonal/>
    </border>
    <border diagonalUp="false" diagonalDown="false">
      <left style="thin">
        <color rgb="FFC8CDD4"/>
      </left>
      <right style="thin">
        <color rgb="FFC8CDD4"/>
      </right>
      <top style="thin">
        <color rgb="FFC8CDD4"/>
      </top>
      <bottom style="medium">
        <color rgb="FF1A2A3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8">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2" borderId="0" xfId="0" applyFont="true" applyBorder="true" applyAlignment="true" applyProtection="true">
      <alignment horizontal="left" vertical="center" textRotation="0" wrapText="false" indent="1" shrinkToFit="false"/>
      <protection locked="true" hidden="false"/>
    </xf>
    <xf numFmtId="164" fontId="5" fillId="3" borderId="0" xfId="0" applyFont="true" applyBorder="true" applyAlignment="true" applyProtection="true">
      <alignment horizontal="left" vertical="center" textRotation="0" wrapText="true" indent="1" shrinkToFit="false"/>
      <protection locked="true" hidden="false"/>
    </xf>
    <xf numFmtId="164" fontId="6" fillId="4" borderId="0" xfId="0" applyFont="true" applyBorder="true" applyAlignment="true" applyProtection="true">
      <alignment horizontal="left" vertical="center" textRotation="0" wrapText="false" indent="1" shrinkToFit="false"/>
      <protection locked="true" hidden="false"/>
    </xf>
    <xf numFmtId="164" fontId="7" fillId="0" borderId="0" xfId="0" applyFont="true" applyBorder="true" applyAlignment="true" applyProtection="true">
      <alignment horizontal="general" vertical="top" textRotation="0" wrapText="true" indent="1" shrinkToFit="false"/>
      <protection locked="true" hidden="false"/>
    </xf>
    <xf numFmtId="164" fontId="8" fillId="0" borderId="1" xfId="0" applyFont="true" applyBorder="true" applyAlignment="true" applyProtection="true">
      <alignment horizontal="left" vertical="top" textRotation="0" wrapText="true" indent="0" shrinkToFit="false"/>
      <protection locked="true" hidden="false"/>
    </xf>
    <xf numFmtId="164" fontId="9" fillId="0" borderId="2" xfId="0" applyFont="true" applyBorder="true" applyAlignment="true" applyProtection="true">
      <alignment horizontal="left" vertical="top" textRotation="0" wrapText="true" indent="0" shrinkToFit="false"/>
      <protection locked="true" hidden="false"/>
    </xf>
    <xf numFmtId="164" fontId="10" fillId="0" borderId="1" xfId="0" applyFont="true" applyBorder="true" applyAlignment="true" applyProtection="true">
      <alignment horizontal="left" vertical="top" textRotation="0" wrapText="true" indent="0" shrinkToFit="false"/>
      <protection locked="true" hidden="false"/>
    </xf>
    <xf numFmtId="164" fontId="11" fillId="0" borderId="2" xfId="0" applyFont="true" applyBorder="true" applyAlignment="true" applyProtection="true">
      <alignment horizontal="left" vertical="top" textRotation="0" wrapText="true" indent="0" shrinkToFit="false"/>
      <protection locked="true" hidden="false"/>
    </xf>
    <xf numFmtId="164" fontId="12" fillId="0" borderId="0" xfId="0" applyFont="true" applyBorder="true" applyAlignment="true" applyProtection="true">
      <alignment horizontal="general" vertical="top" textRotation="0" wrapText="true" indent="1" shrinkToFit="false"/>
      <protection locked="true" hidden="false"/>
    </xf>
    <xf numFmtId="164" fontId="13" fillId="3" borderId="0" xfId="0" applyFont="true" applyBorder="true" applyAlignment="true" applyProtection="true">
      <alignment horizontal="left" vertical="top" textRotation="0" wrapText="true" indent="1" shrinkToFit="false"/>
      <protection locked="true" hidden="false"/>
    </xf>
    <xf numFmtId="164" fontId="4" fillId="5" borderId="0" xfId="0" applyFont="true" applyBorder="true" applyAlignment="true" applyProtection="true">
      <alignment horizontal="left" vertical="center" textRotation="0" wrapText="false" indent="1" shrinkToFit="false"/>
      <protection locked="true" hidden="false"/>
    </xf>
    <xf numFmtId="164" fontId="14" fillId="6" borderId="3" xfId="0" applyFont="true" applyBorder="true" applyAlignment="true" applyProtection="true">
      <alignment horizontal="center" vertical="center" textRotation="0" wrapText="true" indent="0" shrinkToFit="false"/>
      <protection locked="true" hidden="false"/>
    </xf>
    <xf numFmtId="164" fontId="15" fillId="0" borderId="1" xfId="0" applyFont="true" applyBorder="true" applyAlignment="true" applyProtection="true">
      <alignment horizontal="left" vertical="top" textRotation="0" wrapText="true" indent="0" shrinkToFit="false"/>
      <protection locked="true" hidden="false"/>
    </xf>
    <xf numFmtId="165" fontId="16" fillId="7" borderId="1" xfId="0" applyFont="true" applyBorder="true" applyAlignment="true" applyProtection="true">
      <alignment horizontal="center" vertical="top" textRotation="0" wrapText="true" indent="0" shrinkToFit="false"/>
      <protection locked="true" hidden="false"/>
    </xf>
    <xf numFmtId="164" fontId="9" fillId="0" borderId="1" xfId="0" applyFont="true" applyBorder="true" applyAlignment="true" applyProtection="true">
      <alignment horizontal="center" vertical="top" textRotation="0" wrapText="true" indent="0" shrinkToFit="false"/>
      <protection locked="true" hidden="false"/>
    </xf>
    <xf numFmtId="165" fontId="15" fillId="8" borderId="1" xfId="0" applyFont="true" applyBorder="true" applyAlignment="true" applyProtection="true">
      <alignment horizontal="center" vertical="top" textRotation="0" wrapText="true" indent="0" shrinkToFit="false"/>
      <protection locked="true" hidden="false"/>
    </xf>
    <xf numFmtId="164" fontId="14" fillId="2" borderId="3" xfId="0" applyFont="true" applyBorder="true" applyAlignment="true" applyProtection="true">
      <alignment horizontal="center" vertical="center" textRotation="0" wrapText="true" indent="0" shrinkToFit="false"/>
      <protection locked="true" hidden="false"/>
    </xf>
    <xf numFmtId="164" fontId="9" fillId="0" borderId="1" xfId="0" applyFont="true" applyBorder="true" applyAlignment="true" applyProtection="true">
      <alignment horizontal="left" vertical="top" textRotation="0" wrapText="true" indent="0" shrinkToFit="false"/>
      <protection locked="true" hidden="false"/>
    </xf>
    <xf numFmtId="164" fontId="15" fillId="9" borderId="1" xfId="0" applyFont="true" applyBorder="true" applyAlignment="true" applyProtection="true">
      <alignment horizontal="center" vertical="top" textRotation="0" wrapText="true" indent="0" shrinkToFit="false"/>
      <protection locked="true" hidden="false"/>
    </xf>
    <xf numFmtId="164" fontId="15" fillId="10" borderId="1" xfId="0" applyFont="true" applyBorder="true" applyAlignment="true" applyProtection="true">
      <alignment horizontal="center" vertical="top" textRotation="0" wrapText="true" indent="0" shrinkToFit="false"/>
      <protection locked="true" hidden="false"/>
    </xf>
    <xf numFmtId="164" fontId="15" fillId="8" borderId="1" xfId="0" applyFont="true" applyBorder="true" applyAlignment="true" applyProtection="true">
      <alignment horizontal="center" vertical="top" textRotation="0" wrapText="true" indent="0" shrinkToFit="false"/>
      <protection locked="true" hidden="false"/>
    </xf>
    <xf numFmtId="164" fontId="17" fillId="0" borderId="0" xfId="0" applyFont="true" applyBorder="true" applyAlignment="true" applyProtection="true">
      <alignment horizontal="left" vertical="top" textRotation="0" wrapText="true" indent="1" shrinkToFit="false"/>
      <protection locked="true" hidden="false"/>
    </xf>
    <xf numFmtId="164" fontId="15" fillId="0" borderId="1" xfId="0" applyFont="true" applyBorder="true" applyAlignment="true" applyProtection="true">
      <alignment horizontal="center" vertical="top" textRotation="0" wrapText="true" indent="0" shrinkToFit="false"/>
      <protection locked="true" hidden="false"/>
    </xf>
    <xf numFmtId="164" fontId="4" fillId="6" borderId="0" xfId="0" applyFont="true" applyBorder="true" applyAlignment="true" applyProtection="true">
      <alignment horizontal="left" vertical="center" textRotation="0" wrapText="false" indent="1" shrinkToFit="false"/>
      <protection locked="true" hidden="false"/>
    </xf>
    <xf numFmtId="164" fontId="18" fillId="7" borderId="1" xfId="0" applyFont="true" applyBorder="true" applyAlignment="true" applyProtection="true">
      <alignment horizontal="left" vertical="top" textRotation="0" wrapText="true" indent="0" shrinkToFit="false"/>
      <protection locked="true" hidden="false"/>
    </xf>
    <xf numFmtId="165" fontId="18" fillId="7" borderId="1" xfId="0" applyFont="true" applyBorder="true" applyAlignment="true" applyProtection="true">
      <alignment horizontal="center" vertical="top" textRotation="0" wrapText="true" indent="0" shrinkToFit="false"/>
      <protection locked="true" hidden="false"/>
    </xf>
    <xf numFmtId="164" fontId="9" fillId="8" borderId="1" xfId="0" applyFont="true" applyBorder="true" applyAlignment="true" applyProtection="true">
      <alignment horizontal="left" vertical="top" textRotation="0" wrapText="true" indent="0" shrinkToFit="false"/>
      <protection locked="true" hidden="false"/>
    </xf>
    <xf numFmtId="165" fontId="9" fillId="8" borderId="1" xfId="0" applyFont="true" applyBorder="true" applyAlignment="true" applyProtection="true">
      <alignment horizontal="center" vertical="top" textRotation="0" wrapText="true" indent="0" shrinkToFit="false"/>
      <protection locked="true" hidden="false"/>
    </xf>
    <xf numFmtId="164" fontId="16" fillId="7" borderId="1" xfId="0" applyFont="true" applyBorder="true" applyAlignment="true" applyProtection="true">
      <alignment horizontal="left" vertical="top" textRotation="0" wrapText="true" indent="0" shrinkToFit="false"/>
      <protection locked="true" hidden="false"/>
    </xf>
    <xf numFmtId="164" fontId="20" fillId="7" borderId="1" xfId="0" applyFont="true" applyBorder="true" applyAlignment="true" applyProtection="true">
      <alignment horizontal="left" vertical="top" textRotation="0" wrapText="true" indent="0" shrinkToFit="false"/>
      <protection locked="true" hidden="false"/>
    </xf>
    <xf numFmtId="166" fontId="15" fillId="8" borderId="1" xfId="0" applyFont="true" applyBorder="true" applyAlignment="true" applyProtection="true">
      <alignment horizontal="center" vertical="top" textRotation="0" wrapText="true" indent="0" shrinkToFit="false"/>
      <protection locked="true" hidden="false"/>
    </xf>
    <xf numFmtId="167" fontId="15" fillId="8" borderId="1" xfId="0" applyFont="true" applyBorder="true" applyAlignment="true" applyProtection="true">
      <alignment horizontal="center" vertical="top" textRotation="0" wrapText="true" indent="0" shrinkToFit="false"/>
      <protection locked="true" hidden="false"/>
    </xf>
    <xf numFmtId="164" fontId="21" fillId="0" borderId="1" xfId="0" applyFont="true" applyBorder="true" applyAlignment="true" applyProtection="true">
      <alignment horizontal="left" vertical="top" textRotation="0" wrapText="true" indent="0" shrinkToFit="false"/>
      <protection locked="true" hidden="false"/>
    </xf>
    <xf numFmtId="167" fontId="9" fillId="8" borderId="1" xfId="0" applyFont="true" applyBorder="true" applyAlignment="true" applyProtection="true">
      <alignment horizontal="center" vertical="top" textRotation="0" wrapText="true" indent="0" shrinkToFit="false"/>
      <protection locked="true" hidden="false"/>
    </xf>
    <xf numFmtId="168" fontId="9" fillId="8" borderId="1" xfId="0" applyFont="true" applyBorder="true" applyAlignment="true" applyProtection="true">
      <alignment horizontal="center" vertical="top" textRotation="0" wrapText="true" indent="0" shrinkToFit="false"/>
      <protection locked="true" hidden="false"/>
    </xf>
    <xf numFmtId="164" fontId="14" fillId="11" borderId="3" xfId="0" applyFont="true" applyBorder="true" applyAlignment="true" applyProtection="tru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1">
    <dxf>
      <font>
        <name val="Arial"/>
        <charset val="1"/>
        <family val="0"/>
        <b val="1"/>
        <color rgb="FF922B21"/>
        <sz val="9"/>
      </font>
      <fill>
        <patternFill>
          <bgColor rgb="FFFADBD8"/>
        </patternFill>
      </fill>
    </dxf>
    <dxf>
      <fill>
        <patternFill patternType="solid">
          <fgColor rgb="FF1A2A3A"/>
          <bgColor rgb="FF000000"/>
        </patternFill>
      </fill>
    </dxf>
    <dxf>
      <fill>
        <patternFill patternType="solid">
          <fgColor rgb="FFFFF9DB"/>
          <bgColor rgb="FF000000"/>
        </patternFill>
      </fill>
    </dxf>
    <dxf>
      <fill>
        <patternFill patternType="solid">
          <fgColor rgb="FF0000FF"/>
          <bgColor rgb="FF000000"/>
        </patternFill>
      </fill>
    </dxf>
    <dxf>
      <fill>
        <patternFill patternType="solid">
          <fgColor rgb="FFFFFFFF"/>
          <bgColor rgb="FF000000"/>
        </patternFill>
      </fill>
    </dxf>
    <dxf>
      <fill>
        <patternFill patternType="solid">
          <fgColor rgb="FFEEF2F7"/>
          <bgColor rgb="FF000000"/>
        </patternFill>
      </fill>
    </dxf>
    <dxf>
      <fill>
        <patternFill patternType="solid">
          <fgColor rgb="FF000000"/>
          <bgColor rgb="FF000000"/>
        </patternFill>
      </fill>
    </dxf>
    <dxf>
      <fill>
        <patternFill patternType="solid">
          <fgColor rgb="FFFADBD8"/>
          <bgColor rgb="FF000000"/>
        </patternFill>
      </fill>
    </dxf>
    <dxf>
      <fill>
        <patternFill patternType="solid">
          <fgColor rgb="FF922B21"/>
          <bgColor rgb="FF000000"/>
        </patternFill>
      </fill>
    </dxf>
    <dxf>
      <fill>
        <patternFill>
          <bgColor rgb="FFDCF0E4"/>
        </patternFill>
      </fill>
    </dxf>
    <dxf>
      <fill>
        <patternFill>
          <bgColor rgb="FFFDF2D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59669"/>
      <rgbColor rgb="FFC8CDD4"/>
      <rgbColor rgb="FF808080"/>
      <rgbColor rgb="FF9999FF"/>
      <rgbColor rgb="FFB91C1C"/>
      <rgbColor rgb="FFFFF9DB"/>
      <rgbColor rgb="FFEEF2F7"/>
      <rgbColor rgb="FF660066"/>
      <rgbColor rgb="FFFF8080"/>
      <rgbColor rgb="FF0066CC"/>
      <rgbColor rgb="FFF7EFD3"/>
      <rgbColor rgb="FF000080"/>
      <rgbColor rgb="FFFF00FF"/>
      <rgbColor rgb="FFFFFF00"/>
      <rgbColor rgb="FF00FFFF"/>
      <rgbColor rgb="FF800080"/>
      <rgbColor rgb="FF800000"/>
      <rgbColor rgb="FF008080"/>
      <rgbColor rgb="FF0000FF"/>
      <rgbColor rgb="FF00CCFF"/>
      <rgbColor rgb="FFF5F7FA"/>
      <rgbColor rgb="FFDCF0E4"/>
      <rgbColor rgb="FFFDF2D0"/>
      <rgbColor rgb="FF99CCFF"/>
      <rgbColor rgb="FFFF99CC"/>
      <rgbColor rgb="FFCC99FF"/>
      <rgbColor rgb="FFFADBD8"/>
      <rgbColor rgb="FF3366FF"/>
      <rgbColor rgb="FF33CCCC"/>
      <rgbColor rgb="FF99CC00"/>
      <rgbColor rgb="FFFFCC00"/>
      <rgbColor rgb="FFC9A227"/>
      <rgbColor rgb="FFFF6600"/>
      <rgbColor rgb="FF475569"/>
      <rgbColor rgb="FF969696"/>
      <rgbColor rgb="FF003366"/>
      <rgbColor rgb="FF339966"/>
      <rgbColor rgb="FF003300"/>
      <rgbColor rgb="FF333300"/>
      <rgbColor rgb="FF922B21"/>
      <rgbColor rgb="FF993366"/>
      <rgbColor rgb="FF555555"/>
      <rgbColor rgb="FF1A2A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4.xml.rels><?xml version="1.0" encoding="UTF-8"?>
<Relationships xmlns="http://schemas.openxmlformats.org/package/2006/relationships"><Relationship Id="rId1" Type="http://schemas.openxmlformats.org/officeDocument/2006/relationships/comments" Target="../comments4.xml"/><Relationship Id="rId2" Type="http://schemas.openxmlformats.org/officeDocument/2006/relationships/drawing" Target="../drawings/drawing1.xml"/><Relationship Id="rId3"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91C1C"/>
    <pageSetUpPr fitToPage="true"/>
  </sheetPr>
  <dimension ref="A1:H27"/>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6"/>
    <col collapsed="false" customWidth="true" hidden="false" outlineLevel="0" max="8" min="2" style="1" width="20"/>
  </cols>
  <sheetData>
    <row r="1" customFormat="false" ht="30" hidden="false" customHeight="true" outlineLevel="0" collapsed="false">
      <c r="A1" s="2" t="s">
        <v>0</v>
      </c>
      <c r="B1" s="2"/>
      <c r="C1" s="2"/>
      <c r="D1" s="2"/>
      <c r="E1" s="2"/>
      <c r="F1" s="2"/>
      <c r="G1" s="2"/>
      <c r="H1" s="2"/>
    </row>
    <row r="2" customFormat="false" ht="25.5" hidden="false" customHeight="true" outlineLevel="0" collapsed="false">
      <c r="A2" s="3" t="s">
        <v>1</v>
      </c>
      <c r="B2" s="3"/>
      <c r="C2" s="3"/>
      <c r="D2" s="3"/>
      <c r="E2" s="3"/>
      <c r="F2" s="3"/>
      <c r="G2" s="3"/>
      <c r="H2" s="3"/>
    </row>
    <row r="4" customFormat="false" ht="21.75" hidden="false" customHeight="true" outlineLevel="0" collapsed="false">
      <c r="A4" s="4" t="s">
        <v>2</v>
      </c>
      <c r="B4" s="4"/>
      <c r="C4" s="4"/>
      <c r="D4" s="4"/>
      <c r="E4" s="4"/>
      <c r="F4" s="4"/>
      <c r="G4" s="4"/>
      <c r="H4" s="4"/>
    </row>
    <row r="5" customFormat="false" ht="51.75" hidden="false" customHeight="true" outlineLevel="0" collapsed="false">
      <c r="A5" s="5" t="s">
        <v>3</v>
      </c>
      <c r="B5" s="5"/>
      <c r="C5" s="5"/>
      <c r="D5" s="5"/>
      <c r="E5" s="5"/>
      <c r="F5" s="5"/>
      <c r="G5" s="5"/>
      <c r="H5" s="5"/>
    </row>
    <row r="6" customFormat="false" ht="51.75" hidden="false" customHeight="true" outlineLevel="0" collapsed="false">
      <c r="A6" s="5" t="s">
        <v>4</v>
      </c>
      <c r="B6" s="5"/>
      <c r="C6" s="5"/>
      <c r="D6" s="5"/>
      <c r="E6" s="5"/>
      <c r="F6" s="5"/>
      <c r="G6" s="5"/>
      <c r="H6" s="5"/>
    </row>
    <row r="7" customFormat="false" ht="51.75" hidden="false" customHeight="true" outlineLevel="0" collapsed="false">
      <c r="A7" s="5" t="s">
        <v>5</v>
      </c>
      <c r="B7" s="5"/>
      <c r="C7" s="5"/>
      <c r="D7" s="5"/>
      <c r="E7" s="5"/>
      <c r="F7" s="5"/>
      <c r="G7" s="5"/>
      <c r="H7" s="5"/>
    </row>
    <row r="9" customFormat="false" ht="21.75" hidden="false" customHeight="true" outlineLevel="0" collapsed="false">
      <c r="A9" s="4" t="s">
        <v>6</v>
      </c>
      <c r="B9" s="4"/>
      <c r="C9" s="4"/>
      <c r="D9" s="4"/>
      <c r="E9" s="4"/>
      <c r="F9" s="4"/>
      <c r="G9" s="4"/>
      <c r="H9" s="4"/>
    </row>
    <row r="10" customFormat="false" ht="39.75" hidden="false" customHeight="true" outlineLevel="0" collapsed="false">
      <c r="A10" s="6" t="s">
        <v>7</v>
      </c>
      <c r="B10" s="7" t="s">
        <v>8</v>
      </c>
      <c r="C10" s="7"/>
      <c r="D10" s="7"/>
      <c r="E10" s="7"/>
      <c r="F10" s="7"/>
      <c r="G10" s="7"/>
      <c r="H10" s="7"/>
    </row>
    <row r="11" customFormat="false" ht="39.75" hidden="false" customHeight="true" outlineLevel="0" collapsed="false">
      <c r="A11" s="6" t="s">
        <v>9</v>
      </c>
      <c r="B11" s="7" t="s">
        <v>10</v>
      </c>
      <c r="C11" s="7"/>
      <c r="D11" s="7"/>
      <c r="E11" s="7"/>
      <c r="F11" s="7"/>
      <c r="G11" s="7"/>
      <c r="H11" s="7"/>
    </row>
    <row r="12" customFormat="false" ht="39.75" hidden="false" customHeight="true" outlineLevel="0" collapsed="false">
      <c r="A12" s="6" t="s">
        <v>11</v>
      </c>
      <c r="B12" s="7" t="s">
        <v>12</v>
      </c>
      <c r="C12" s="7"/>
      <c r="D12" s="7"/>
      <c r="E12" s="7"/>
      <c r="F12" s="7"/>
      <c r="G12" s="7"/>
      <c r="H12" s="7"/>
    </row>
    <row r="13" customFormat="false" ht="39.75" hidden="false" customHeight="true" outlineLevel="0" collapsed="false">
      <c r="A13" s="6" t="s">
        <v>13</v>
      </c>
      <c r="B13" s="7" t="s">
        <v>14</v>
      </c>
      <c r="C13" s="7"/>
      <c r="D13" s="7"/>
      <c r="E13" s="7"/>
      <c r="F13" s="7"/>
      <c r="G13" s="7"/>
      <c r="H13" s="7"/>
    </row>
    <row r="14" customFormat="false" ht="39.75" hidden="false" customHeight="true" outlineLevel="0" collapsed="false">
      <c r="A14" s="6" t="s">
        <v>15</v>
      </c>
      <c r="B14" s="7" t="s">
        <v>16</v>
      </c>
      <c r="C14" s="7"/>
      <c r="D14" s="7"/>
      <c r="E14" s="7"/>
      <c r="F14" s="7"/>
      <c r="G14" s="7"/>
      <c r="H14" s="7"/>
    </row>
    <row r="16" customFormat="false" ht="21.75" hidden="false" customHeight="true" outlineLevel="0" collapsed="false">
      <c r="A16" s="4" t="s">
        <v>17</v>
      </c>
      <c r="B16" s="4"/>
      <c r="C16" s="4"/>
      <c r="D16" s="4"/>
      <c r="E16" s="4"/>
      <c r="F16" s="4"/>
      <c r="G16" s="4"/>
      <c r="H16" s="4"/>
    </row>
    <row r="17" customFormat="false" ht="24" hidden="false" customHeight="true" outlineLevel="0" collapsed="false">
      <c r="A17" s="8" t="s">
        <v>18</v>
      </c>
      <c r="B17" s="9" t="s">
        <v>19</v>
      </c>
      <c r="C17" s="9"/>
      <c r="D17" s="9"/>
      <c r="E17" s="9"/>
      <c r="F17" s="9"/>
      <c r="G17" s="9"/>
      <c r="H17" s="9"/>
    </row>
    <row r="18" customFormat="false" ht="24" hidden="false" customHeight="true" outlineLevel="0" collapsed="false">
      <c r="A18" s="8" t="s">
        <v>20</v>
      </c>
      <c r="B18" s="9" t="s">
        <v>21</v>
      </c>
      <c r="C18" s="9"/>
      <c r="D18" s="9"/>
      <c r="E18" s="9"/>
      <c r="F18" s="9"/>
      <c r="G18" s="9"/>
      <c r="H18" s="9"/>
    </row>
    <row r="19" customFormat="false" ht="24" hidden="false" customHeight="true" outlineLevel="0" collapsed="false">
      <c r="A19" s="8" t="s">
        <v>22</v>
      </c>
      <c r="B19" s="9" t="s">
        <v>23</v>
      </c>
      <c r="C19" s="9"/>
      <c r="D19" s="9"/>
      <c r="E19" s="9"/>
      <c r="F19" s="9"/>
      <c r="G19" s="9"/>
      <c r="H19" s="9"/>
    </row>
    <row r="20" customFormat="false" ht="24" hidden="false" customHeight="true" outlineLevel="0" collapsed="false">
      <c r="A20" s="8" t="s">
        <v>24</v>
      </c>
      <c r="B20" s="9" t="s">
        <v>25</v>
      </c>
      <c r="C20" s="9"/>
      <c r="D20" s="9"/>
      <c r="E20" s="9"/>
      <c r="F20" s="9"/>
      <c r="G20" s="9"/>
      <c r="H20" s="9"/>
    </row>
    <row r="22" customFormat="false" ht="21.75" hidden="false" customHeight="true" outlineLevel="0" collapsed="false">
      <c r="A22" s="4" t="s">
        <v>26</v>
      </c>
      <c r="B22" s="4"/>
      <c r="C22" s="4"/>
      <c r="D22" s="4"/>
      <c r="E22" s="4"/>
      <c r="F22" s="4"/>
      <c r="G22" s="4"/>
      <c r="H22" s="4"/>
    </row>
    <row r="23" customFormat="false" ht="15" hidden="false" customHeight="true" outlineLevel="0" collapsed="false">
      <c r="A23" s="10" t="s">
        <v>27</v>
      </c>
      <c r="B23" s="10"/>
      <c r="C23" s="10"/>
      <c r="D23" s="10"/>
      <c r="E23" s="10"/>
      <c r="F23" s="10"/>
      <c r="G23" s="10"/>
      <c r="H23" s="10"/>
    </row>
    <row r="24" customFormat="false" ht="15" hidden="false" customHeight="true" outlineLevel="0" collapsed="false">
      <c r="A24" s="10"/>
      <c r="B24" s="10"/>
      <c r="C24" s="10"/>
      <c r="D24" s="10"/>
      <c r="E24" s="10"/>
      <c r="F24" s="10"/>
      <c r="G24" s="10"/>
      <c r="H24" s="10"/>
    </row>
    <row r="26" customFormat="false" ht="15" hidden="false" customHeight="true" outlineLevel="0" collapsed="false">
      <c r="A26" s="11" t="s">
        <v>28</v>
      </c>
      <c r="B26" s="11"/>
      <c r="C26" s="11"/>
      <c r="D26" s="11"/>
      <c r="E26" s="11"/>
      <c r="F26" s="11"/>
      <c r="G26" s="11"/>
      <c r="H26" s="11"/>
    </row>
    <row r="27" customFormat="false" ht="15" hidden="false" customHeight="true" outlineLevel="0" collapsed="false">
      <c r="A27" s="11"/>
      <c r="B27" s="11"/>
      <c r="C27" s="11"/>
      <c r="D27" s="11"/>
      <c r="E27" s="11"/>
      <c r="F27" s="11"/>
      <c r="G27" s="11"/>
      <c r="H27" s="11"/>
    </row>
  </sheetData>
  <mergeCells count="20">
    <mergeCell ref="A1:H1"/>
    <mergeCell ref="A2:H2"/>
    <mergeCell ref="A4:H4"/>
    <mergeCell ref="A5:H5"/>
    <mergeCell ref="A6:H6"/>
    <mergeCell ref="A7:H7"/>
    <mergeCell ref="A9:H9"/>
    <mergeCell ref="B10:H10"/>
    <mergeCell ref="B11:H11"/>
    <mergeCell ref="B12:H12"/>
    <mergeCell ref="B13:H13"/>
    <mergeCell ref="B14:H14"/>
    <mergeCell ref="A16:H16"/>
    <mergeCell ref="B17:H17"/>
    <mergeCell ref="B18:H18"/>
    <mergeCell ref="B19:H19"/>
    <mergeCell ref="B20:H20"/>
    <mergeCell ref="A22:H22"/>
    <mergeCell ref="A23:H24"/>
    <mergeCell ref="A26:H27"/>
  </mergeCells>
  <printOptions headings="false" gridLines="false" gridLinesSet="true" horizontalCentered="true" verticalCentered="false"/>
  <pageMargins left="0.4" right="0.4" top="0.5" bottom="0.5" header="0.511811023622047" footer="0.25"/>
  <pageSetup paperSize="1" scale="100" fitToWidth="1" fitToHeight="0" pageOrder="downThenOver" orientation="portrait" blackAndWhite="false" draft="false" cellComments="none" horizontalDpi="300" verticalDpi="300" copies="1"/>
  <headerFooter differentFirst="false" differentOddEven="false">
    <oddHeader/>
    <oddFooter>&amp;L&amp;8 &amp;K808080When Agents Rule companion toolkit&amp;R&amp;8 &amp;K808080&amp;A  |  Page &amp;P of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9A227"/>
    <pageSetUpPr fitToPage="true"/>
  </sheetPr>
  <dimension ref="A1:H1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1" topLeftCell="A1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40"/>
    <col collapsed="false" customWidth="true" hidden="false" outlineLevel="0" max="3" min="2" style="1" width="16"/>
    <col collapsed="false" customWidth="true" hidden="false" outlineLevel="0" max="4" min="4" style="1" width="44"/>
    <col collapsed="false" customWidth="true" hidden="false" outlineLevel="0" max="8" min="5" style="1" width="16"/>
  </cols>
  <sheetData>
    <row r="1" customFormat="false" ht="30" hidden="false" customHeight="true" outlineLevel="0" collapsed="false">
      <c r="A1" s="12" t="s">
        <v>29</v>
      </c>
      <c r="B1" s="12"/>
      <c r="C1" s="12"/>
      <c r="D1" s="12"/>
      <c r="E1" s="12"/>
      <c r="F1" s="12"/>
      <c r="G1" s="12"/>
      <c r="H1" s="12"/>
    </row>
    <row r="2" customFormat="false" ht="25.5" hidden="false" customHeight="true" outlineLevel="0" collapsed="false">
      <c r="A2" s="3" t="s">
        <v>30</v>
      </c>
      <c r="B2" s="3"/>
      <c r="C2" s="3"/>
      <c r="D2" s="3"/>
      <c r="E2" s="3"/>
      <c r="F2" s="3"/>
      <c r="G2" s="3"/>
      <c r="H2" s="3"/>
    </row>
    <row r="4" customFormat="false" ht="24" hidden="false" customHeight="true" outlineLevel="0" collapsed="false">
      <c r="A4" s="13" t="s">
        <v>31</v>
      </c>
      <c r="B4" s="13" t="s">
        <v>32</v>
      </c>
      <c r="C4" s="13" t="s">
        <v>33</v>
      </c>
      <c r="D4" s="13" t="s">
        <v>34</v>
      </c>
      <c r="E4" s="13"/>
      <c r="F4" s="13"/>
      <c r="G4" s="13"/>
      <c r="H4" s="13"/>
    </row>
    <row r="5" customFormat="false" ht="43.5" hidden="false" customHeight="true" outlineLevel="0" collapsed="false">
      <c r="A5" s="14" t="s">
        <v>35</v>
      </c>
      <c r="B5" s="15" t="n">
        <v>2026</v>
      </c>
      <c r="C5" s="16" t="s">
        <v>36</v>
      </c>
      <c r="D5" s="9" t="s">
        <v>37</v>
      </c>
      <c r="E5" s="9"/>
      <c r="F5" s="9"/>
      <c r="G5" s="9"/>
      <c r="H5" s="9"/>
    </row>
    <row r="6" customFormat="false" ht="43.5" hidden="false" customHeight="true" outlineLevel="0" collapsed="false">
      <c r="A6" s="14" t="s">
        <v>38</v>
      </c>
      <c r="B6" s="15" t="n">
        <v>2032</v>
      </c>
      <c r="C6" s="16" t="s">
        <v>36</v>
      </c>
      <c r="D6" s="9" t="s">
        <v>39</v>
      </c>
      <c r="E6" s="9"/>
      <c r="F6" s="9"/>
      <c r="G6" s="9"/>
      <c r="H6" s="9"/>
    </row>
    <row r="7" customFormat="false" ht="43.5" hidden="false" customHeight="true" outlineLevel="0" collapsed="false">
      <c r="A7" s="14" t="s">
        <v>40</v>
      </c>
      <c r="B7" s="15" t="n">
        <v>6</v>
      </c>
      <c r="C7" s="16" t="s">
        <v>41</v>
      </c>
      <c r="D7" s="9" t="s">
        <v>42</v>
      </c>
      <c r="E7" s="9"/>
      <c r="F7" s="9"/>
      <c r="G7" s="9"/>
      <c r="H7" s="9"/>
    </row>
    <row r="8" customFormat="false" ht="43.5" hidden="false" customHeight="true" outlineLevel="0" collapsed="false">
      <c r="A8" s="14" t="s">
        <v>43</v>
      </c>
      <c r="B8" s="15" t="n">
        <v>2020</v>
      </c>
      <c r="C8" s="16" t="s">
        <v>36</v>
      </c>
      <c r="D8" s="9" t="s">
        <v>44</v>
      </c>
      <c r="E8" s="9"/>
      <c r="F8" s="9"/>
      <c r="G8" s="9"/>
      <c r="H8" s="9"/>
    </row>
    <row r="10" customFormat="false" ht="21.75" hidden="false" customHeight="true" outlineLevel="0" collapsed="false">
      <c r="A10" s="4" t="s">
        <v>45</v>
      </c>
      <c r="B10" s="4"/>
      <c r="C10" s="4"/>
      <c r="D10" s="4"/>
      <c r="E10" s="4"/>
      <c r="F10" s="4"/>
      <c r="G10" s="4"/>
      <c r="H10" s="4"/>
    </row>
    <row r="11" customFormat="false" ht="24" hidden="false" customHeight="true" outlineLevel="0" collapsed="false">
      <c r="A11" s="13" t="s">
        <v>46</v>
      </c>
      <c r="B11" s="13" t="s">
        <v>32</v>
      </c>
      <c r="C11" s="13" t="s">
        <v>33</v>
      </c>
      <c r="D11" s="13" t="s">
        <v>47</v>
      </c>
      <c r="E11" s="13"/>
      <c r="F11" s="13"/>
      <c r="G11" s="13"/>
      <c r="H11" s="13"/>
    </row>
    <row r="12" customFormat="false" ht="25.5" hidden="false" customHeight="true" outlineLevel="0" collapsed="false">
      <c r="A12" s="14" t="s">
        <v>48</v>
      </c>
      <c r="B12" s="17" t="n">
        <f aca="false">'Planning Assumptions'!$B$6-'Planning Assumptions'!$B$5</f>
        <v>6</v>
      </c>
      <c r="C12" s="16" t="s">
        <v>41</v>
      </c>
      <c r="D12" s="9" t="s">
        <v>49</v>
      </c>
      <c r="E12" s="9"/>
      <c r="F12" s="9"/>
      <c r="G12" s="9"/>
      <c r="H12" s="9"/>
    </row>
    <row r="13" customFormat="false" ht="25.5" hidden="false" customHeight="true" outlineLevel="0" collapsed="false">
      <c r="A13" s="14" t="s">
        <v>50</v>
      </c>
      <c r="B13" s="17" t="n">
        <f aca="false">'Planning Assumptions'!$B$6-'Planning Assumptions'!$B$7</f>
        <v>2026</v>
      </c>
      <c r="C13" s="16" t="s">
        <v>36</v>
      </c>
      <c r="D13" s="9" t="s">
        <v>51</v>
      </c>
      <c r="E13" s="9"/>
      <c r="F13" s="9"/>
      <c r="G13" s="9"/>
      <c r="H13" s="9"/>
    </row>
    <row r="14" customFormat="false" ht="25.5" hidden="false" customHeight="true" outlineLevel="0" collapsed="false">
      <c r="A14" s="14" t="s">
        <v>52</v>
      </c>
      <c r="B14" s="17" t="n">
        <f aca="false">'Planning Assumptions'!$B$5-'Planning Assumptions'!$B$8</f>
        <v>6</v>
      </c>
      <c r="C14" s="16" t="s">
        <v>41</v>
      </c>
      <c r="D14" s="9" t="s">
        <v>53</v>
      </c>
      <c r="E14" s="9"/>
      <c r="F14" s="9"/>
      <c r="G14" s="9"/>
      <c r="H14" s="9"/>
    </row>
    <row r="15" customFormat="false" ht="25.5" hidden="false" customHeight="true" outlineLevel="0" collapsed="false">
      <c r="A15" s="14" t="s">
        <v>54</v>
      </c>
      <c r="B15" s="17" t="n">
        <f aca="false">'Planning Assumptions'!$B$6-'Planning Assumptions'!$B$5-'Planning Assumptions'!$B$7</f>
        <v>0</v>
      </c>
      <c r="C15" s="16" t="s">
        <v>41</v>
      </c>
      <c r="D15" s="9" t="s">
        <v>55</v>
      </c>
      <c r="E15" s="9"/>
      <c r="F15" s="9"/>
      <c r="G15" s="9"/>
      <c r="H15" s="9"/>
    </row>
    <row r="17" customFormat="false" ht="15" hidden="false" customHeight="true" outlineLevel="0" collapsed="false">
      <c r="A17" s="11" t="s">
        <v>28</v>
      </c>
      <c r="B17" s="11"/>
      <c r="C17" s="11"/>
      <c r="D17" s="11"/>
      <c r="E17" s="11"/>
      <c r="F17" s="11"/>
      <c r="G17" s="11"/>
      <c r="H17" s="11"/>
    </row>
    <row r="18" customFormat="false" ht="15" hidden="false" customHeight="true" outlineLevel="0" collapsed="false">
      <c r="A18" s="11"/>
      <c r="B18" s="11"/>
      <c r="C18" s="11"/>
      <c r="D18" s="11"/>
      <c r="E18" s="11"/>
      <c r="F18" s="11"/>
      <c r="G18" s="11"/>
      <c r="H18" s="11"/>
    </row>
  </sheetData>
  <mergeCells count="12">
    <mergeCell ref="A1:H1"/>
    <mergeCell ref="A2:H2"/>
    <mergeCell ref="D5:H5"/>
    <mergeCell ref="D6:H6"/>
    <mergeCell ref="D7:H7"/>
    <mergeCell ref="D8:H8"/>
    <mergeCell ref="A10:H10"/>
    <mergeCell ref="D12:H12"/>
    <mergeCell ref="D13:H13"/>
    <mergeCell ref="D14:H14"/>
    <mergeCell ref="D15:H15"/>
    <mergeCell ref="A17:H18"/>
  </mergeCells>
  <conditionalFormatting sqref="B15">
    <cfRule type="cellIs" priority="2" operator="lessThan" aboveAverage="0" equalAverage="0" bottom="0" percent="0" rank="0" text="" dxfId="0">
      <formula>0</formula>
    </cfRule>
  </conditionalFormatting>
  <printOptions headings="false" gridLines="false" gridLinesSet="true" horizontalCentered="true" verticalCentered="false"/>
  <pageMargins left="0.4" right="0.4" top="0.5" bottom="0.5" header="0.511811023622047" footer="0.25"/>
  <pageSetup paperSize="1" scale="100" fitToWidth="1" fitToHeight="0" pageOrder="downThenOver" orientation="landscape" blackAndWhite="false" draft="false" cellComments="none" horizontalDpi="300" verticalDpi="300" copies="1"/>
  <headerFooter differentFirst="false" differentOddEven="false">
    <oddHeader/>
    <oddFooter>&amp;L&amp;8 &amp;K808080When Agents Rule companion toolkit&amp;R&amp;8 &amp;K808080&amp;A  |  Page &amp;P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91C1C"/>
    <pageSetUpPr fitToPage="true"/>
  </sheetPr>
  <dimension ref="A1:E7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63" topLeftCell="A6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26"/>
    <col collapsed="false" customWidth="true" hidden="false" outlineLevel="0" max="2" min="2" style="1" width="18"/>
    <col collapsed="false" customWidth="true" hidden="false" outlineLevel="0" max="3" min="3" style="1" width="34"/>
    <col collapsed="false" customWidth="true" hidden="false" outlineLevel="0" max="4" min="4" style="1" width="30"/>
    <col collapsed="false" customWidth="true" hidden="false" outlineLevel="0" max="5" min="5" style="1" width="14"/>
  </cols>
  <sheetData>
    <row r="1" customFormat="false" ht="30" hidden="false" customHeight="true" outlineLevel="0" collapsed="false">
      <c r="A1" s="2" t="s">
        <v>56</v>
      </c>
      <c r="B1" s="2"/>
      <c r="C1" s="2"/>
      <c r="D1" s="2"/>
      <c r="E1" s="2"/>
    </row>
    <row r="2" customFormat="false" ht="25.5" hidden="false" customHeight="true" outlineLevel="0" collapsed="false">
      <c r="A2" s="3" t="s">
        <v>57</v>
      </c>
      <c r="B2" s="3"/>
      <c r="C2" s="3"/>
      <c r="D2" s="3"/>
      <c r="E2" s="3"/>
    </row>
    <row r="4" customFormat="false" ht="31.5" hidden="false" customHeight="true" outlineLevel="0" collapsed="false">
      <c r="A4" s="18" t="s">
        <v>58</v>
      </c>
      <c r="B4" s="18" t="s">
        <v>59</v>
      </c>
      <c r="C4" s="18" t="s">
        <v>60</v>
      </c>
      <c r="D4" s="18" t="s">
        <v>61</v>
      </c>
      <c r="E4" s="18" t="s">
        <v>62</v>
      </c>
    </row>
    <row r="5" customFormat="false" ht="30" hidden="false" customHeight="true" outlineLevel="0" collapsed="false">
      <c r="A5" s="14" t="s">
        <v>63</v>
      </c>
      <c r="B5" s="19" t="s">
        <v>64</v>
      </c>
      <c r="C5" s="19" t="s">
        <v>65</v>
      </c>
      <c r="D5" s="19" t="s">
        <v>66</v>
      </c>
      <c r="E5" s="20" t="n">
        <v>6</v>
      </c>
    </row>
    <row r="6" customFormat="false" ht="30" hidden="false" customHeight="true" outlineLevel="0" collapsed="false">
      <c r="A6" s="14" t="s">
        <v>67</v>
      </c>
      <c r="B6" s="19" t="s">
        <v>64</v>
      </c>
      <c r="C6" s="19" t="s">
        <v>68</v>
      </c>
      <c r="D6" s="19" t="s">
        <v>69</v>
      </c>
      <c r="E6" s="20" t="n">
        <v>6</v>
      </c>
    </row>
    <row r="7" customFormat="false" ht="30" hidden="false" customHeight="true" outlineLevel="0" collapsed="false">
      <c r="A7" s="14" t="s">
        <v>70</v>
      </c>
      <c r="B7" s="19" t="s">
        <v>64</v>
      </c>
      <c r="C7" s="19" t="s">
        <v>71</v>
      </c>
      <c r="D7" s="19" t="s">
        <v>72</v>
      </c>
      <c r="E7" s="20" t="n">
        <v>6</v>
      </c>
    </row>
    <row r="8" customFormat="false" ht="30" hidden="false" customHeight="true" outlineLevel="0" collapsed="false">
      <c r="A8" s="14" t="s">
        <v>73</v>
      </c>
      <c r="B8" s="19" t="s">
        <v>64</v>
      </c>
      <c r="C8" s="19" t="s">
        <v>74</v>
      </c>
      <c r="D8" s="19" t="s">
        <v>75</v>
      </c>
      <c r="E8" s="20" t="n">
        <v>6</v>
      </c>
    </row>
    <row r="9" customFormat="false" ht="30" hidden="false" customHeight="true" outlineLevel="0" collapsed="false">
      <c r="A9" s="14" t="s">
        <v>76</v>
      </c>
      <c r="B9" s="19" t="s">
        <v>64</v>
      </c>
      <c r="C9" s="19" t="s">
        <v>74</v>
      </c>
      <c r="D9" s="19" t="s">
        <v>77</v>
      </c>
      <c r="E9" s="20" t="n">
        <v>6</v>
      </c>
    </row>
    <row r="10" customFormat="false" ht="30" hidden="false" customHeight="true" outlineLevel="0" collapsed="false">
      <c r="A10" s="14" t="s">
        <v>78</v>
      </c>
      <c r="B10" s="19" t="s">
        <v>79</v>
      </c>
      <c r="C10" s="19" t="s">
        <v>80</v>
      </c>
      <c r="D10" s="19" t="s">
        <v>81</v>
      </c>
      <c r="E10" s="20" t="n">
        <v>6</v>
      </c>
    </row>
    <row r="11" customFormat="false" ht="30" hidden="false" customHeight="true" outlineLevel="0" collapsed="false">
      <c r="A11" s="14" t="s">
        <v>82</v>
      </c>
      <c r="B11" s="19" t="s">
        <v>79</v>
      </c>
      <c r="C11" s="19" t="s">
        <v>74</v>
      </c>
      <c r="D11" s="19" t="s">
        <v>83</v>
      </c>
      <c r="E11" s="20" t="n">
        <v>6</v>
      </c>
    </row>
    <row r="12" customFormat="false" ht="30" hidden="false" customHeight="true" outlineLevel="0" collapsed="false">
      <c r="A12" s="14" t="s">
        <v>84</v>
      </c>
      <c r="B12" s="19" t="s">
        <v>64</v>
      </c>
      <c r="C12" s="19" t="s">
        <v>85</v>
      </c>
      <c r="D12" s="19" t="s">
        <v>86</v>
      </c>
      <c r="E12" s="20" t="n">
        <v>6</v>
      </c>
    </row>
    <row r="13" customFormat="false" ht="30" hidden="false" customHeight="true" outlineLevel="0" collapsed="false">
      <c r="A13" s="14" t="s">
        <v>87</v>
      </c>
      <c r="B13" s="19" t="s">
        <v>64</v>
      </c>
      <c r="C13" s="19" t="s">
        <v>74</v>
      </c>
      <c r="D13" s="19" t="s">
        <v>88</v>
      </c>
      <c r="E13" s="20" t="n">
        <v>6</v>
      </c>
    </row>
    <row r="14" customFormat="false" ht="30" hidden="false" customHeight="true" outlineLevel="0" collapsed="false">
      <c r="A14" s="14" t="s">
        <v>89</v>
      </c>
      <c r="B14" s="19" t="s">
        <v>90</v>
      </c>
      <c r="C14" s="19" t="s">
        <v>91</v>
      </c>
      <c r="D14" s="19" t="s">
        <v>92</v>
      </c>
      <c r="E14" s="20" t="n">
        <v>5</v>
      </c>
    </row>
    <row r="15" customFormat="false" ht="30" hidden="false" customHeight="true" outlineLevel="0" collapsed="false">
      <c r="A15" s="14" t="s">
        <v>93</v>
      </c>
      <c r="B15" s="19" t="s">
        <v>90</v>
      </c>
      <c r="C15" s="19" t="s">
        <v>94</v>
      </c>
      <c r="D15" s="19" t="s">
        <v>92</v>
      </c>
      <c r="E15" s="20" t="n">
        <v>5</v>
      </c>
    </row>
    <row r="16" customFormat="false" ht="30" hidden="false" customHeight="true" outlineLevel="0" collapsed="false">
      <c r="A16" s="14" t="s">
        <v>95</v>
      </c>
      <c r="B16" s="19" t="s">
        <v>90</v>
      </c>
      <c r="C16" s="19" t="s">
        <v>96</v>
      </c>
      <c r="D16" s="19" t="s">
        <v>97</v>
      </c>
      <c r="E16" s="21" t="n">
        <v>3</v>
      </c>
    </row>
    <row r="17" customFormat="false" ht="30" hidden="false" customHeight="true" outlineLevel="0" collapsed="false">
      <c r="A17" s="14" t="s">
        <v>98</v>
      </c>
      <c r="B17" s="19" t="s">
        <v>90</v>
      </c>
      <c r="C17" s="19" t="s">
        <v>99</v>
      </c>
      <c r="D17" s="19" t="s">
        <v>100</v>
      </c>
      <c r="E17" s="21" t="n">
        <v>2</v>
      </c>
    </row>
    <row r="18" customFormat="false" ht="30" hidden="false" customHeight="true" outlineLevel="0" collapsed="false">
      <c r="A18" s="14" t="s">
        <v>101</v>
      </c>
      <c r="B18" s="19" t="s">
        <v>90</v>
      </c>
      <c r="C18" s="19" t="s">
        <v>102</v>
      </c>
      <c r="D18" s="19" t="s">
        <v>103</v>
      </c>
      <c r="E18" s="22" t="n">
        <v>0</v>
      </c>
    </row>
    <row r="19" customFormat="false" ht="30" hidden="false" customHeight="true" outlineLevel="0" collapsed="false">
      <c r="A19" s="14" t="s">
        <v>104</v>
      </c>
      <c r="B19" s="19" t="s">
        <v>105</v>
      </c>
      <c r="C19" s="19" t="s">
        <v>94</v>
      </c>
      <c r="D19" s="19" t="s">
        <v>106</v>
      </c>
      <c r="E19" s="20" t="n">
        <v>5</v>
      </c>
    </row>
    <row r="20" customFormat="false" ht="30" hidden="false" customHeight="true" outlineLevel="0" collapsed="false">
      <c r="A20" s="14" t="s">
        <v>107</v>
      </c>
      <c r="B20" s="19" t="s">
        <v>105</v>
      </c>
      <c r="C20" s="19" t="s">
        <v>108</v>
      </c>
      <c r="D20" s="19" t="s">
        <v>109</v>
      </c>
      <c r="E20" s="21" t="n">
        <v>2</v>
      </c>
    </row>
    <row r="21" customFormat="false" ht="30" hidden="false" customHeight="true" outlineLevel="0" collapsed="false">
      <c r="A21" s="14" t="s">
        <v>110</v>
      </c>
      <c r="B21" s="19" t="s">
        <v>105</v>
      </c>
      <c r="C21" s="19" t="s">
        <v>111</v>
      </c>
      <c r="D21" s="19" t="s">
        <v>112</v>
      </c>
      <c r="E21" s="22" t="n">
        <v>0</v>
      </c>
    </row>
    <row r="22" customFormat="false" ht="30" hidden="false" customHeight="true" outlineLevel="0" collapsed="false">
      <c r="A22" s="14" t="s">
        <v>113</v>
      </c>
      <c r="B22" s="19" t="s">
        <v>114</v>
      </c>
      <c r="C22" s="19" t="s">
        <v>115</v>
      </c>
      <c r="D22" s="19" t="s">
        <v>116</v>
      </c>
      <c r="E22" s="22" t="n">
        <v>0</v>
      </c>
    </row>
    <row r="23" customFormat="false" ht="30" hidden="false" customHeight="true" outlineLevel="0" collapsed="false">
      <c r="A23" s="14" t="s">
        <v>117</v>
      </c>
      <c r="B23" s="19" t="s">
        <v>118</v>
      </c>
      <c r="C23" s="19" t="s">
        <v>115</v>
      </c>
      <c r="D23" s="19" t="s">
        <v>112</v>
      </c>
      <c r="E23" s="22" t="n">
        <v>0</v>
      </c>
    </row>
    <row r="24" customFormat="false" ht="30" hidden="false" customHeight="true" outlineLevel="0" collapsed="false">
      <c r="A24" s="14" t="s">
        <v>119</v>
      </c>
      <c r="B24" s="19" t="s">
        <v>118</v>
      </c>
      <c r="C24" s="19" t="s">
        <v>120</v>
      </c>
      <c r="D24" s="19" t="s">
        <v>121</v>
      </c>
      <c r="E24" s="22" t="n">
        <v>0</v>
      </c>
    </row>
    <row r="25" customFormat="false" ht="30" hidden="false" customHeight="true" outlineLevel="0" collapsed="false">
      <c r="A25" s="14" t="s">
        <v>122</v>
      </c>
      <c r="B25" s="19" t="s">
        <v>123</v>
      </c>
      <c r="C25" s="19" t="s">
        <v>124</v>
      </c>
      <c r="D25" s="19" t="s">
        <v>125</v>
      </c>
      <c r="E25" s="22" t="n">
        <v>0</v>
      </c>
    </row>
    <row r="26" customFormat="false" ht="30" hidden="false" customHeight="true" outlineLevel="0" collapsed="false">
      <c r="A26" s="14" t="s">
        <v>126</v>
      </c>
      <c r="B26" s="19" t="s">
        <v>127</v>
      </c>
      <c r="C26" s="19" t="s">
        <v>128</v>
      </c>
      <c r="D26" s="19" t="s">
        <v>129</v>
      </c>
      <c r="E26" s="20" t="n">
        <v>6</v>
      </c>
    </row>
    <row r="27" customFormat="false" ht="30" hidden="false" customHeight="true" outlineLevel="0" collapsed="false">
      <c r="A27" s="14" t="s">
        <v>127</v>
      </c>
      <c r="B27" s="19" t="s">
        <v>127</v>
      </c>
      <c r="C27" s="19" t="s">
        <v>130</v>
      </c>
      <c r="D27" s="19" t="s">
        <v>131</v>
      </c>
      <c r="E27" s="20" t="n">
        <v>6</v>
      </c>
    </row>
    <row r="29" customFormat="false" ht="30" hidden="false" customHeight="true" outlineLevel="0" collapsed="false">
      <c r="A29" s="23" t="s">
        <v>132</v>
      </c>
      <c r="B29" s="23"/>
      <c r="C29" s="23"/>
      <c r="D29" s="23"/>
      <c r="E29" s="23"/>
    </row>
    <row r="31" customFormat="false" ht="21.75" hidden="false" customHeight="true" outlineLevel="0" collapsed="false">
      <c r="A31" s="4" t="s">
        <v>133</v>
      </c>
      <c r="B31" s="4"/>
      <c r="C31" s="4"/>
      <c r="D31" s="4"/>
      <c r="E31" s="4"/>
    </row>
    <row r="32" customFormat="false" ht="19.5" hidden="false" customHeight="true" outlineLevel="0" collapsed="false">
      <c r="A32" s="13" t="s">
        <v>134</v>
      </c>
      <c r="B32" s="13" t="s">
        <v>135</v>
      </c>
      <c r="C32" s="13" t="s">
        <v>136</v>
      </c>
      <c r="D32" s="13"/>
      <c r="E32" s="13"/>
    </row>
    <row r="33" customFormat="false" ht="15.75" hidden="false" customHeight="true" outlineLevel="0" collapsed="false">
      <c r="A33" s="14" t="s">
        <v>137</v>
      </c>
      <c r="B33" s="19" t="s">
        <v>138</v>
      </c>
      <c r="C33" s="16" t="n">
        <v>0</v>
      </c>
      <c r="D33" s="19"/>
      <c r="E33" s="19"/>
    </row>
    <row r="34" customFormat="false" ht="15.75" hidden="false" customHeight="true" outlineLevel="0" collapsed="false">
      <c r="A34" s="19"/>
      <c r="B34" s="19" t="s">
        <v>139</v>
      </c>
      <c r="C34" s="16" t="n">
        <v>1</v>
      </c>
      <c r="D34" s="19"/>
      <c r="E34" s="19"/>
    </row>
    <row r="35" customFormat="false" ht="15.75" hidden="false" customHeight="true" outlineLevel="0" collapsed="false">
      <c r="A35" s="19"/>
      <c r="B35" s="19" t="s">
        <v>140</v>
      </c>
      <c r="C35" s="16" t="n">
        <v>3</v>
      </c>
      <c r="D35" s="19"/>
      <c r="E35" s="19"/>
    </row>
    <row r="36" customFormat="false" ht="15.75" hidden="false" customHeight="true" outlineLevel="0" collapsed="false">
      <c r="A36" s="19"/>
      <c r="B36" s="19" t="s">
        <v>141</v>
      </c>
      <c r="C36" s="16" t="n">
        <v>5</v>
      </c>
      <c r="D36" s="19"/>
      <c r="E36" s="19"/>
    </row>
    <row r="37" customFormat="false" ht="15.75" hidden="false" customHeight="true" outlineLevel="0" collapsed="false">
      <c r="A37" s="19"/>
      <c r="B37" s="19" t="s">
        <v>142</v>
      </c>
      <c r="C37" s="16" t="n">
        <v>6</v>
      </c>
      <c r="D37" s="19"/>
      <c r="E37" s="19"/>
    </row>
    <row r="38" customFormat="false" ht="15.75" hidden="false" customHeight="true" outlineLevel="0" collapsed="false">
      <c r="A38" s="19"/>
      <c r="B38" s="19" t="s">
        <v>127</v>
      </c>
      <c r="C38" s="16" t="n">
        <v>6</v>
      </c>
      <c r="D38" s="19"/>
      <c r="E38" s="19"/>
    </row>
    <row r="39" customFormat="false" ht="15.75" hidden="false" customHeight="true" outlineLevel="0" collapsed="false">
      <c r="A39" s="14" t="s">
        <v>143</v>
      </c>
      <c r="B39" s="19" t="s">
        <v>144</v>
      </c>
      <c r="C39" s="16" t="n">
        <v>0</v>
      </c>
      <c r="D39" s="19"/>
      <c r="E39" s="19"/>
    </row>
    <row r="40" customFormat="false" ht="15.75" hidden="false" customHeight="true" outlineLevel="0" collapsed="false">
      <c r="A40" s="19"/>
      <c r="B40" s="19" t="s">
        <v>145</v>
      </c>
      <c r="C40" s="16" t="n">
        <v>1</v>
      </c>
      <c r="D40" s="19"/>
      <c r="E40" s="19"/>
    </row>
    <row r="41" customFormat="false" ht="15.75" hidden="false" customHeight="true" outlineLevel="0" collapsed="false">
      <c r="A41" s="19"/>
      <c r="B41" s="19" t="s">
        <v>146</v>
      </c>
      <c r="C41" s="16" t="n">
        <v>3</v>
      </c>
      <c r="D41" s="19"/>
      <c r="E41" s="19"/>
    </row>
    <row r="42" customFormat="false" ht="15.75" hidden="false" customHeight="true" outlineLevel="0" collapsed="false">
      <c r="A42" s="19"/>
      <c r="B42" s="19" t="s">
        <v>147</v>
      </c>
      <c r="C42" s="16" t="n">
        <v>4</v>
      </c>
      <c r="D42" s="19"/>
      <c r="E42" s="19"/>
    </row>
    <row r="43" customFormat="false" ht="15.75" hidden="false" customHeight="true" outlineLevel="0" collapsed="false">
      <c r="A43" s="19"/>
      <c r="B43" s="19" t="s">
        <v>127</v>
      </c>
      <c r="C43" s="16" t="n">
        <v>4</v>
      </c>
      <c r="D43" s="19"/>
      <c r="E43" s="19"/>
    </row>
    <row r="44" customFormat="false" ht="15.75" hidden="false" customHeight="true" outlineLevel="0" collapsed="false">
      <c r="A44" s="14" t="s">
        <v>148</v>
      </c>
      <c r="B44" s="19" t="s">
        <v>149</v>
      </c>
      <c r="C44" s="16" t="n">
        <v>0</v>
      </c>
      <c r="D44" s="19"/>
      <c r="E44" s="19"/>
    </row>
    <row r="45" customFormat="false" ht="15.75" hidden="false" customHeight="true" outlineLevel="0" collapsed="false">
      <c r="A45" s="19"/>
      <c r="B45" s="19" t="s">
        <v>150</v>
      </c>
      <c r="C45" s="16" t="n">
        <v>1</v>
      </c>
      <c r="D45" s="19"/>
      <c r="E45" s="19"/>
    </row>
    <row r="46" customFormat="false" ht="15.75" hidden="false" customHeight="true" outlineLevel="0" collapsed="false">
      <c r="A46" s="19"/>
      <c r="B46" s="19" t="s">
        <v>151</v>
      </c>
      <c r="C46" s="16" t="n">
        <v>3</v>
      </c>
      <c r="D46" s="19"/>
      <c r="E46" s="19"/>
    </row>
    <row r="47" customFormat="false" ht="15.75" hidden="false" customHeight="true" outlineLevel="0" collapsed="false">
      <c r="A47" s="19"/>
      <c r="B47" s="19" t="s">
        <v>152</v>
      </c>
      <c r="C47" s="16" t="n">
        <v>4</v>
      </c>
      <c r="D47" s="19"/>
      <c r="E47" s="19"/>
    </row>
    <row r="48" customFormat="false" ht="15.75" hidden="false" customHeight="true" outlineLevel="0" collapsed="false">
      <c r="A48" s="19"/>
      <c r="B48" s="19" t="s">
        <v>127</v>
      </c>
      <c r="C48" s="16" t="n">
        <v>4</v>
      </c>
      <c r="D48" s="19"/>
      <c r="E48" s="19"/>
    </row>
    <row r="49" customFormat="false" ht="15.75" hidden="false" customHeight="true" outlineLevel="0" collapsed="false">
      <c r="A49" s="14" t="s">
        <v>153</v>
      </c>
      <c r="B49" s="19" t="s">
        <v>154</v>
      </c>
      <c r="C49" s="16" t="n">
        <v>0</v>
      </c>
      <c r="D49" s="19"/>
      <c r="E49" s="19"/>
    </row>
    <row r="50" customFormat="false" ht="15.75" hidden="false" customHeight="true" outlineLevel="0" collapsed="false">
      <c r="A50" s="19"/>
      <c r="B50" s="19" t="s">
        <v>155</v>
      </c>
      <c r="C50" s="16" t="n">
        <v>2</v>
      </c>
      <c r="D50" s="19"/>
      <c r="E50" s="19"/>
    </row>
    <row r="51" customFormat="false" ht="15.75" hidden="false" customHeight="true" outlineLevel="0" collapsed="false">
      <c r="A51" s="19"/>
      <c r="B51" s="19" t="s">
        <v>156</v>
      </c>
      <c r="C51" s="16" t="n">
        <v>4</v>
      </c>
      <c r="D51" s="19"/>
      <c r="E51" s="19"/>
    </row>
    <row r="52" customFormat="false" ht="15.75" hidden="false" customHeight="true" outlineLevel="0" collapsed="false">
      <c r="A52" s="19"/>
      <c r="B52" s="19" t="s">
        <v>157</v>
      </c>
      <c r="C52" s="16" t="n">
        <v>0</v>
      </c>
      <c r="D52" s="19"/>
      <c r="E52" s="19"/>
    </row>
    <row r="53" customFormat="false" ht="15.75" hidden="false" customHeight="true" outlineLevel="0" collapsed="false">
      <c r="A53" s="19"/>
      <c r="B53" s="19" t="s">
        <v>127</v>
      </c>
      <c r="C53" s="16" t="n">
        <v>4</v>
      </c>
      <c r="D53" s="19"/>
      <c r="E53" s="19"/>
    </row>
    <row r="54" customFormat="false" ht="15.75" hidden="false" customHeight="true" outlineLevel="0" collapsed="false">
      <c r="A54" s="14" t="s">
        <v>158</v>
      </c>
      <c r="B54" s="19" t="s">
        <v>159</v>
      </c>
      <c r="C54" s="16" t="n">
        <v>4</v>
      </c>
      <c r="D54" s="19"/>
      <c r="E54" s="19"/>
    </row>
    <row r="55" customFormat="false" ht="15.75" hidden="false" customHeight="true" outlineLevel="0" collapsed="false">
      <c r="A55" s="19"/>
      <c r="B55" s="19" t="s">
        <v>160</v>
      </c>
      <c r="C55" s="16" t="n">
        <v>4</v>
      </c>
      <c r="D55" s="19"/>
      <c r="E55" s="19"/>
    </row>
    <row r="56" customFormat="false" ht="15.75" hidden="false" customHeight="true" outlineLevel="0" collapsed="false">
      <c r="A56" s="19"/>
      <c r="B56" s="19" t="s">
        <v>161</v>
      </c>
      <c r="C56" s="16" t="n">
        <v>2</v>
      </c>
      <c r="D56" s="19"/>
      <c r="E56" s="19"/>
    </row>
    <row r="57" customFormat="false" ht="15.75" hidden="false" customHeight="true" outlineLevel="0" collapsed="false">
      <c r="A57" s="19"/>
      <c r="B57" s="19" t="s">
        <v>162</v>
      </c>
      <c r="C57" s="16" t="n">
        <v>2</v>
      </c>
      <c r="D57" s="19"/>
      <c r="E57" s="19"/>
    </row>
    <row r="58" customFormat="false" ht="15.75" hidden="false" customHeight="true" outlineLevel="0" collapsed="false">
      <c r="A58" s="19"/>
      <c r="B58" s="19" t="s">
        <v>163</v>
      </c>
      <c r="C58" s="16" t="n">
        <v>2</v>
      </c>
      <c r="D58" s="19"/>
      <c r="E58" s="19"/>
    </row>
    <row r="59" customFormat="false" ht="15.75" hidden="false" customHeight="true" outlineLevel="0" collapsed="false">
      <c r="A59" s="19"/>
      <c r="B59" s="19" t="s">
        <v>164</v>
      </c>
      <c r="C59" s="16" t="n">
        <v>2</v>
      </c>
      <c r="D59" s="19"/>
      <c r="E59" s="19"/>
    </row>
    <row r="60" customFormat="false" ht="15.75" hidden="false" customHeight="true" outlineLevel="0" collapsed="false">
      <c r="A60" s="19"/>
      <c r="B60" s="19" t="s">
        <v>165</v>
      </c>
      <c r="C60" s="16" t="n">
        <v>0</v>
      </c>
      <c r="D60" s="19"/>
      <c r="E60" s="19"/>
    </row>
    <row r="62" customFormat="false" ht="21.75" hidden="false" customHeight="true" outlineLevel="0" collapsed="false">
      <c r="A62" s="4" t="s">
        <v>166</v>
      </c>
      <c r="B62" s="4"/>
      <c r="C62" s="4"/>
      <c r="D62" s="4"/>
      <c r="E62" s="4"/>
    </row>
    <row r="63" customFormat="false" ht="19.5" hidden="false" customHeight="true" outlineLevel="0" collapsed="false">
      <c r="A63" s="13" t="s">
        <v>167</v>
      </c>
      <c r="B63" s="13" t="s">
        <v>168</v>
      </c>
      <c r="C63" s="13" t="s">
        <v>169</v>
      </c>
      <c r="D63" s="13"/>
      <c r="E63" s="13"/>
    </row>
    <row r="64" customFormat="false" ht="30" hidden="false" customHeight="true" outlineLevel="0" collapsed="false">
      <c r="A64" s="24" t="n">
        <v>0</v>
      </c>
      <c r="B64" s="14" t="s">
        <v>170</v>
      </c>
      <c r="C64" s="7" t="s">
        <v>171</v>
      </c>
      <c r="D64" s="7"/>
      <c r="E64" s="7"/>
    </row>
    <row r="65" customFormat="false" ht="30" hidden="false" customHeight="true" outlineLevel="0" collapsed="false">
      <c r="A65" s="24" t="n">
        <v>8</v>
      </c>
      <c r="B65" s="14" t="s">
        <v>172</v>
      </c>
      <c r="C65" s="7" t="s">
        <v>173</v>
      </c>
      <c r="D65" s="7"/>
      <c r="E65" s="7"/>
    </row>
    <row r="66" customFormat="false" ht="30" hidden="false" customHeight="true" outlineLevel="0" collapsed="false">
      <c r="A66" s="24" t="n">
        <v>14</v>
      </c>
      <c r="B66" s="14" t="s">
        <v>174</v>
      </c>
      <c r="C66" s="7" t="s">
        <v>175</v>
      </c>
      <c r="D66" s="7"/>
      <c r="E66" s="7"/>
    </row>
    <row r="67" customFormat="false" ht="30" hidden="false" customHeight="true" outlineLevel="0" collapsed="false">
      <c r="A67" s="24" t="n">
        <v>20</v>
      </c>
      <c r="B67" s="14" t="s">
        <v>176</v>
      </c>
      <c r="C67" s="7" t="s">
        <v>177</v>
      </c>
      <c r="D67" s="7"/>
      <c r="E67" s="7"/>
    </row>
    <row r="69" customFormat="false" ht="15" hidden="false" customHeight="true" outlineLevel="0" collapsed="false">
      <c r="A69" s="11" t="s">
        <v>28</v>
      </c>
      <c r="B69" s="11"/>
      <c r="C69" s="11"/>
      <c r="D69" s="11"/>
      <c r="E69" s="11"/>
    </row>
    <row r="70" customFormat="false" ht="15" hidden="false" customHeight="true" outlineLevel="0" collapsed="false">
      <c r="A70" s="11"/>
      <c r="B70" s="11"/>
      <c r="C70" s="11"/>
      <c r="D70" s="11"/>
      <c r="E70" s="11"/>
    </row>
  </sheetData>
  <mergeCells count="10">
    <mergeCell ref="A1:E1"/>
    <mergeCell ref="A2:E2"/>
    <mergeCell ref="A29:E29"/>
    <mergeCell ref="A31:E31"/>
    <mergeCell ref="A62:E62"/>
    <mergeCell ref="C64:E64"/>
    <mergeCell ref="C65:E65"/>
    <mergeCell ref="C66:E66"/>
    <mergeCell ref="C67:E67"/>
    <mergeCell ref="A69:E70"/>
  </mergeCells>
  <printOptions headings="false" gridLines="false" gridLinesSet="true" horizontalCentered="true" verticalCentered="false"/>
  <pageMargins left="0.4" right="0.4" top="0.5" bottom="0.5" header="0.511811023622047" footer="0.25"/>
  <pageSetup paperSize="1" scale="100" fitToWidth="1" fitToHeight="0" pageOrder="downThenOver" orientation="landscape" blackAndWhite="false" draft="false" cellComments="none" horizontalDpi="300" verticalDpi="300" copies="1"/>
  <headerFooter differentFirst="false" differentOddEven="false">
    <oddHeader/>
    <oddFooter>&amp;L&amp;8 &amp;K808080When Agents Rule companion toolkit&amp;R&amp;8 &amp;K808080&amp;A  |  Page &amp;P of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A2A3A"/>
    <pageSetUpPr fitToPage="true"/>
  </sheetPr>
  <dimension ref="A1:U5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0"/>
    <col collapsed="false" customWidth="true" hidden="false" outlineLevel="0" max="2" min="2" style="1" width="26"/>
    <col collapsed="false" customWidth="true" hidden="false" outlineLevel="0" max="3" min="3" style="1" width="22"/>
    <col collapsed="false" customWidth="true" hidden="false" outlineLevel="0" max="4" min="4" style="1" width="20"/>
    <col collapsed="false" customWidth="true" hidden="false" outlineLevel="0" max="5" min="5" style="1" width="22"/>
    <col collapsed="false" customWidth="true" hidden="false" outlineLevel="0" max="6" min="6" style="1" width="20"/>
    <col collapsed="false" customWidth="true" hidden="false" outlineLevel="0" max="7" min="7" style="1" width="24"/>
    <col collapsed="false" customWidth="true" hidden="false" outlineLevel="0" max="8" min="8" style="1" width="20"/>
    <col collapsed="false" customWidth="true" hidden="false" outlineLevel="0" max="9" min="9" style="1" width="15"/>
    <col collapsed="false" customWidth="true" hidden="false" outlineLevel="0" max="11" min="10" style="1" width="24"/>
    <col collapsed="false" customWidth="true" hidden="false" outlineLevel="0" max="12" min="12" style="1" width="22"/>
    <col collapsed="false" customWidth="true" hidden="false" outlineLevel="0" max="13" min="13" style="1" width="24"/>
    <col collapsed="false" customWidth="true" hidden="false" outlineLevel="0" max="14" min="14" style="1" width="34"/>
    <col collapsed="false" customWidth="true" hidden="false" outlineLevel="0" max="15" min="15" style="1" width="30"/>
    <col collapsed="false" customWidth="true" hidden="false" outlineLevel="0" max="16" min="16" style="1" width="12"/>
    <col collapsed="false" customWidth="true" hidden="false" outlineLevel="0" max="18" min="17" style="1" width="20"/>
    <col collapsed="false" customWidth="true" hidden="false" outlineLevel="0" max="19" min="19" style="1" width="13"/>
    <col collapsed="false" customWidth="true" hidden="false" outlineLevel="0" max="20" min="20" style="1" width="20"/>
    <col collapsed="false" customWidth="true" hidden="false" outlineLevel="0" max="21" min="21" style="1" width="34"/>
  </cols>
  <sheetData>
    <row r="1" customFormat="false" ht="30" hidden="false" customHeight="true" outlineLevel="0" collapsed="false">
      <c r="A1" s="25" t="s">
        <v>178</v>
      </c>
      <c r="B1" s="25"/>
      <c r="C1" s="25"/>
      <c r="D1" s="25"/>
      <c r="E1" s="25"/>
      <c r="F1" s="25"/>
      <c r="G1" s="25"/>
      <c r="H1" s="25"/>
      <c r="I1" s="25"/>
      <c r="J1" s="25"/>
      <c r="K1" s="25"/>
      <c r="L1" s="25"/>
      <c r="M1" s="25"/>
      <c r="N1" s="25"/>
      <c r="O1" s="25"/>
      <c r="P1" s="25"/>
      <c r="Q1" s="25"/>
      <c r="R1" s="25"/>
      <c r="S1" s="25"/>
      <c r="T1" s="25"/>
      <c r="U1" s="25"/>
    </row>
    <row r="2" customFormat="false" ht="25.5" hidden="false" customHeight="true" outlineLevel="0" collapsed="false">
      <c r="A2" s="3" t="s">
        <v>179</v>
      </c>
      <c r="B2" s="3"/>
      <c r="C2" s="3"/>
      <c r="D2" s="3"/>
      <c r="E2" s="3"/>
      <c r="F2" s="3"/>
      <c r="G2" s="3"/>
      <c r="H2" s="3"/>
      <c r="I2" s="3"/>
      <c r="J2" s="3"/>
      <c r="K2" s="3"/>
      <c r="L2" s="3"/>
      <c r="M2" s="3"/>
      <c r="N2" s="3"/>
      <c r="O2" s="3"/>
      <c r="P2" s="3"/>
      <c r="Q2" s="3"/>
      <c r="R2" s="3"/>
      <c r="S2" s="3"/>
      <c r="T2" s="3"/>
      <c r="U2" s="3"/>
    </row>
    <row r="4" customFormat="false" ht="48" hidden="false" customHeight="true" outlineLevel="0" collapsed="false">
      <c r="A4" s="13" t="s">
        <v>180</v>
      </c>
      <c r="B4" s="13" t="s">
        <v>181</v>
      </c>
      <c r="C4" s="13" t="s">
        <v>182</v>
      </c>
      <c r="D4" s="13" t="s">
        <v>183</v>
      </c>
      <c r="E4" s="13" t="s">
        <v>184</v>
      </c>
      <c r="F4" s="13" t="s">
        <v>185</v>
      </c>
      <c r="G4" s="13" t="s">
        <v>58</v>
      </c>
      <c r="H4" s="13" t="s">
        <v>186</v>
      </c>
      <c r="I4" s="13" t="s">
        <v>187</v>
      </c>
      <c r="J4" s="13" t="s">
        <v>143</v>
      </c>
      <c r="K4" s="13" t="s">
        <v>148</v>
      </c>
      <c r="L4" s="13" t="s">
        <v>153</v>
      </c>
      <c r="M4" s="13" t="s">
        <v>158</v>
      </c>
      <c r="N4" s="13" t="s">
        <v>60</v>
      </c>
      <c r="O4" s="13" t="s">
        <v>61</v>
      </c>
      <c r="P4" s="13" t="s">
        <v>188</v>
      </c>
      <c r="Q4" s="13" t="s">
        <v>189</v>
      </c>
      <c r="R4" s="13" t="s">
        <v>190</v>
      </c>
      <c r="S4" s="13" t="s">
        <v>191</v>
      </c>
      <c r="T4" s="13" t="s">
        <v>192</v>
      </c>
      <c r="U4" s="13" t="s">
        <v>193</v>
      </c>
    </row>
    <row r="5" customFormat="false" ht="30" hidden="false" customHeight="true" outlineLevel="0" collapsed="false">
      <c r="A5" s="26" t="s">
        <v>194</v>
      </c>
      <c r="B5" s="26" t="s">
        <v>195</v>
      </c>
      <c r="C5" s="26" t="s">
        <v>196</v>
      </c>
      <c r="D5" s="26" t="s">
        <v>197</v>
      </c>
      <c r="E5" s="26" t="s">
        <v>198</v>
      </c>
      <c r="F5" s="26" t="s">
        <v>199</v>
      </c>
      <c r="G5" s="26" t="s">
        <v>78</v>
      </c>
      <c r="H5" s="26" t="s">
        <v>79</v>
      </c>
      <c r="I5" s="27" t="n">
        <v>2045</v>
      </c>
      <c r="J5" s="26" t="s">
        <v>147</v>
      </c>
      <c r="K5" s="26" t="s">
        <v>151</v>
      </c>
      <c r="L5" s="26" t="s">
        <v>155</v>
      </c>
      <c r="M5" s="26" t="s">
        <v>161</v>
      </c>
      <c r="N5" s="28" t="str">
        <f aca="false">IF(G5="","",IFERROR(INDEX('Algorithm Reference'!$C$5:$C$27,MATCH(G5,'Algorithm Reference'!$A$5:$A$27,0)),"Not in reference table"))</f>
        <v>Broken by Shor. The key exchange path is the harvest now target.</v>
      </c>
      <c r="O5" s="28" t="str">
        <f aca="false">IF(G5="","",IFERROR(INDEX('Algorithm Reference'!$D$5:$D$27,MATCH(G5,'Algorithm Reference'!$A$5:$A$27,0)),""))</f>
        <v>Hybrid X25519 with ML-KEM 768, then ML-KEM only</v>
      </c>
      <c r="P5" s="29" t="n">
        <f aca="false">IF(I5="","",MAX(0,I5-'Planning Assumptions'!$B$5))</f>
        <v>19</v>
      </c>
      <c r="Q5" s="28" t="str">
        <f aca="false">IF(P5="","",IF(P5&lt;=2,"0 to 2 years",IF(P5&lt;=5,"3 to 5 years",IF(P5&lt;=10,"6 to 10 years",IF(P5&lt;=20,"11 to 20 years","Over 20 years or permanent")))))</f>
        <v>11 to 20 years</v>
      </c>
      <c r="R5" s="22" t="str">
        <f aca="false">IF(OR(G5="",I5=""),"",IF(AND(IFERROR(INDEX('Algorithm Reference'!$E$5:$E$27,MATCH(G5,'Algorithm Reference'!$A$5:$A$27,0)),6)&gt;=5,OR(H5="Key exchange",H5="Encryption in transit",H5="Encryption at rest",H5="Multiple purposes"),P5+'Planning Assumptions'!$B$7&gt;'Planning Assumptions'!$B$6-'Planning Assumptions'!$B$5),"EXPOSED","Within tolerance"))</f>
        <v>EXPOSED</v>
      </c>
      <c r="S5" s="17" t="n">
        <f aca="false">IF(G5="","",IFERROR(INDEX('Algorithm Reference'!$E$5:$E$27,MATCH(G5,'Algorithm Reference'!$A$5:$A$27,0)),6)+IFERROR(INDEX('Algorithm Reference'!$C$33:$C$60,MATCH(Q5,'Algorithm Reference'!$B$33:$B$60,0)),6)+IFERROR(INDEX('Algorithm Reference'!$C$33:$C$60,MATCH(J5,'Algorithm Reference'!$B$33:$B$60,0)),4)+IFERROR(INDEX('Algorithm Reference'!$C$33:$C$60,MATCH(K5,'Algorithm Reference'!$B$33:$B$60,0)),4)+IFERROR(INDEX('Algorithm Reference'!$C$33:$C$60,MATCH(L5,'Algorithm Reference'!$B$33:$B$60,0)),4)+IFERROR(INDEX('Algorithm Reference'!$C$33:$C$60,MATCH(M5,'Algorithm Reference'!$B$33:$B$60,0)),0))</f>
        <v>22</v>
      </c>
      <c r="T5" s="28" t="str">
        <f aca="false">IF(S5="","",IFERROR(INDEX('Algorithm Reference'!$B$64:$B$67,MATCH(S5,'Algorithm Reference'!$A$64:$A$67,1)),""))</f>
        <v>Wave 1: 2026 to 2027</v>
      </c>
      <c r="U5" s="26" t="s">
        <v>200</v>
      </c>
    </row>
    <row r="6" customFormat="false" ht="30" hidden="false" customHeight="true" outlineLevel="0" collapsed="false">
      <c r="A6" s="30"/>
      <c r="B6" s="30"/>
      <c r="C6" s="30"/>
      <c r="D6" s="30"/>
      <c r="E6" s="30"/>
      <c r="F6" s="30"/>
      <c r="G6" s="30"/>
      <c r="H6" s="30"/>
      <c r="I6" s="15"/>
      <c r="J6" s="30"/>
      <c r="K6" s="30"/>
      <c r="L6" s="30"/>
      <c r="M6" s="30"/>
      <c r="N6" s="28" t="str">
        <f aca="false">IF(G6="","",IFERROR(INDEX('Algorithm Reference'!$C$5:$C$27,MATCH(G6,'Algorithm Reference'!$A$5:$A$27,0)),"Not in reference table"))</f>
        <v/>
      </c>
      <c r="O6" s="28" t="str">
        <f aca="false">IF(G6="","",IFERROR(INDEX('Algorithm Reference'!$D$5:$D$27,MATCH(G6,'Algorithm Reference'!$A$5:$A$27,0)),""))</f>
        <v/>
      </c>
      <c r="P6" s="29" t="str">
        <f aca="false">IF(I6="","",MAX(0,I6-'Planning Assumptions'!$B$5))</f>
        <v/>
      </c>
      <c r="Q6" s="28" t="str">
        <f aca="false">IF(P6="","",IF(P6&lt;=2,"0 to 2 years",IF(P6&lt;=5,"3 to 5 years",IF(P6&lt;=10,"6 to 10 years",IF(P6&lt;=20,"11 to 20 years","Over 20 years or permanent")))))</f>
        <v/>
      </c>
      <c r="R6" s="22" t="str">
        <f aca="false">IF(OR(G6="",I6=""),"",IF(AND(IFERROR(INDEX('Algorithm Reference'!$E$5:$E$27,MATCH(G6,'Algorithm Reference'!$A$5:$A$27,0)),6)&gt;=5,OR(H6="Key exchange",H6="Encryption in transit",H6="Encryption at rest",H6="Multiple purposes"),P6+'Planning Assumptions'!$B$7&gt;'Planning Assumptions'!$B$6-'Planning Assumptions'!$B$5),"EXPOSED","Within tolerance"))</f>
        <v/>
      </c>
      <c r="S6" s="17" t="str">
        <f aca="false">IF(G6="","",IFERROR(INDEX('Algorithm Reference'!$E$5:$E$27,MATCH(G6,'Algorithm Reference'!$A$5:$A$27,0)),6)+IFERROR(INDEX('Algorithm Reference'!$C$33:$C$60,MATCH(Q6,'Algorithm Reference'!$B$33:$B$60,0)),6)+IFERROR(INDEX('Algorithm Reference'!$C$33:$C$60,MATCH(J6,'Algorithm Reference'!$B$33:$B$60,0)),4)+IFERROR(INDEX('Algorithm Reference'!$C$33:$C$60,MATCH(K6,'Algorithm Reference'!$B$33:$B$60,0)),4)+IFERROR(INDEX('Algorithm Reference'!$C$33:$C$60,MATCH(L6,'Algorithm Reference'!$B$33:$B$60,0)),4)+IFERROR(INDEX('Algorithm Reference'!$C$33:$C$60,MATCH(M6,'Algorithm Reference'!$B$33:$B$60,0)),0))</f>
        <v/>
      </c>
      <c r="T6" s="28" t="str">
        <f aca="false">IF(S6="","",IFERROR(INDEX('Algorithm Reference'!$B$64:$B$67,MATCH(S6,'Algorithm Reference'!$A$64:$A$67,1)),""))</f>
        <v/>
      </c>
      <c r="U6" s="30"/>
    </row>
    <row r="7" customFormat="false" ht="30" hidden="false" customHeight="true" outlineLevel="0" collapsed="false">
      <c r="A7" s="30"/>
      <c r="B7" s="30"/>
      <c r="C7" s="30"/>
      <c r="D7" s="30"/>
      <c r="E7" s="30"/>
      <c r="F7" s="30"/>
      <c r="G7" s="30"/>
      <c r="H7" s="30"/>
      <c r="I7" s="15"/>
      <c r="J7" s="30"/>
      <c r="K7" s="30"/>
      <c r="L7" s="30"/>
      <c r="M7" s="30"/>
      <c r="N7" s="28" t="str">
        <f aca="false">IF(G7="","",IFERROR(INDEX('Algorithm Reference'!$C$5:$C$27,MATCH(G7,'Algorithm Reference'!$A$5:$A$27,0)),"Not in reference table"))</f>
        <v/>
      </c>
      <c r="O7" s="28" t="str">
        <f aca="false">IF(G7="","",IFERROR(INDEX('Algorithm Reference'!$D$5:$D$27,MATCH(G7,'Algorithm Reference'!$A$5:$A$27,0)),""))</f>
        <v/>
      </c>
      <c r="P7" s="29" t="str">
        <f aca="false">IF(I7="","",MAX(0,I7-'Planning Assumptions'!$B$5))</f>
        <v/>
      </c>
      <c r="Q7" s="28" t="str">
        <f aca="false">IF(P7="","",IF(P7&lt;=2,"0 to 2 years",IF(P7&lt;=5,"3 to 5 years",IF(P7&lt;=10,"6 to 10 years",IF(P7&lt;=20,"11 to 20 years","Over 20 years or permanent")))))</f>
        <v/>
      </c>
      <c r="R7" s="22" t="str">
        <f aca="false">IF(OR(G7="",I7=""),"",IF(AND(IFERROR(INDEX('Algorithm Reference'!$E$5:$E$27,MATCH(G7,'Algorithm Reference'!$A$5:$A$27,0)),6)&gt;=5,OR(H7="Key exchange",H7="Encryption in transit",H7="Encryption at rest",H7="Multiple purposes"),P7+'Planning Assumptions'!$B$7&gt;'Planning Assumptions'!$B$6-'Planning Assumptions'!$B$5),"EXPOSED","Within tolerance"))</f>
        <v/>
      </c>
      <c r="S7" s="17" t="str">
        <f aca="false">IF(G7="","",IFERROR(INDEX('Algorithm Reference'!$E$5:$E$27,MATCH(G7,'Algorithm Reference'!$A$5:$A$27,0)),6)+IFERROR(INDEX('Algorithm Reference'!$C$33:$C$60,MATCH(Q7,'Algorithm Reference'!$B$33:$B$60,0)),6)+IFERROR(INDEX('Algorithm Reference'!$C$33:$C$60,MATCH(J7,'Algorithm Reference'!$B$33:$B$60,0)),4)+IFERROR(INDEX('Algorithm Reference'!$C$33:$C$60,MATCH(K7,'Algorithm Reference'!$B$33:$B$60,0)),4)+IFERROR(INDEX('Algorithm Reference'!$C$33:$C$60,MATCH(L7,'Algorithm Reference'!$B$33:$B$60,0)),4)+IFERROR(INDEX('Algorithm Reference'!$C$33:$C$60,MATCH(M7,'Algorithm Reference'!$B$33:$B$60,0)),0))</f>
        <v/>
      </c>
      <c r="T7" s="28" t="str">
        <f aca="false">IF(S7="","",IFERROR(INDEX('Algorithm Reference'!$B$64:$B$67,MATCH(S7,'Algorithm Reference'!$A$64:$A$67,1)),""))</f>
        <v/>
      </c>
      <c r="U7" s="30"/>
    </row>
    <row r="8" customFormat="false" ht="30" hidden="false" customHeight="true" outlineLevel="0" collapsed="false">
      <c r="A8" s="30"/>
      <c r="B8" s="30"/>
      <c r="C8" s="30"/>
      <c r="D8" s="30"/>
      <c r="E8" s="30"/>
      <c r="F8" s="30"/>
      <c r="G8" s="30"/>
      <c r="H8" s="30"/>
      <c r="I8" s="15"/>
      <c r="J8" s="30"/>
      <c r="K8" s="30"/>
      <c r="L8" s="30"/>
      <c r="M8" s="30"/>
      <c r="N8" s="28" t="str">
        <f aca="false">IF(G8="","",IFERROR(INDEX('Algorithm Reference'!$C$5:$C$27,MATCH(G8,'Algorithm Reference'!$A$5:$A$27,0)),"Not in reference table"))</f>
        <v/>
      </c>
      <c r="O8" s="28" t="str">
        <f aca="false">IF(G8="","",IFERROR(INDEX('Algorithm Reference'!$D$5:$D$27,MATCH(G8,'Algorithm Reference'!$A$5:$A$27,0)),""))</f>
        <v/>
      </c>
      <c r="P8" s="29" t="str">
        <f aca="false">IF(I8="","",MAX(0,I8-'Planning Assumptions'!$B$5))</f>
        <v/>
      </c>
      <c r="Q8" s="28" t="str">
        <f aca="false">IF(P8="","",IF(P8&lt;=2,"0 to 2 years",IF(P8&lt;=5,"3 to 5 years",IF(P8&lt;=10,"6 to 10 years",IF(P8&lt;=20,"11 to 20 years","Over 20 years or permanent")))))</f>
        <v/>
      </c>
      <c r="R8" s="22" t="str">
        <f aca="false">IF(OR(G8="",I8=""),"",IF(AND(IFERROR(INDEX('Algorithm Reference'!$E$5:$E$27,MATCH(G8,'Algorithm Reference'!$A$5:$A$27,0)),6)&gt;=5,OR(H8="Key exchange",H8="Encryption in transit",H8="Encryption at rest",H8="Multiple purposes"),P8+'Planning Assumptions'!$B$7&gt;'Planning Assumptions'!$B$6-'Planning Assumptions'!$B$5),"EXPOSED","Within tolerance"))</f>
        <v/>
      </c>
      <c r="S8" s="17" t="str">
        <f aca="false">IF(G8="","",IFERROR(INDEX('Algorithm Reference'!$E$5:$E$27,MATCH(G8,'Algorithm Reference'!$A$5:$A$27,0)),6)+IFERROR(INDEX('Algorithm Reference'!$C$33:$C$60,MATCH(Q8,'Algorithm Reference'!$B$33:$B$60,0)),6)+IFERROR(INDEX('Algorithm Reference'!$C$33:$C$60,MATCH(J8,'Algorithm Reference'!$B$33:$B$60,0)),4)+IFERROR(INDEX('Algorithm Reference'!$C$33:$C$60,MATCH(K8,'Algorithm Reference'!$B$33:$B$60,0)),4)+IFERROR(INDEX('Algorithm Reference'!$C$33:$C$60,MATCH(L8,'Algorithm Reference'!$B$33:$B$60,0)),4)+IFERROR(INDEX('Algorithm Reference'!$C$33:$C$60,MATCH(M8,'Algorithm Reference'!$B$33:$B$60,0)),0))</f>
        <v/>
      </c>
      <c r="T8" s="28" t="str">
        <f aca="false">IF(S8="","",IFERROR(INDEX('Algorithm Reference'!$B$64:$B$67,MATCH(S8,'Algorithm Reference'!$A$64:$A$67,1)),""))</f>
        <v/>
      </c>
      <c r="U8" s="30"/>
    </row>
    <row r="9" customFormat="false" ht="30" hidden="false" customHeight="true" outlineLevel="0" collapsed="false">
      <c r="A9" s="30"/>
      <c r="B9" s="30"/>
      <c r="C9" s="30"/>
      <c r="D9" s="30"/>
      <c r="E9" s="30"/>
      <c r="F9" s="30"/>
      <c r="G9" s="30"/>
      <c r="H9" s="30"/>
      <c r="I9" s="15"/>
      <c r="J9" s="30"/>
      <c r="K9" s="30"/>
      <c r="L9" s="30"/>
      <c r="M9" s="30"/>
      <c r="N9" s="28" t="str">
        <f aca="false">IF(G9="","",IFERROR(INDEX('Algorithm Reference'!$C$5:$C$27,MATCH(G9,'Algorithm Reference'!$A$5:$A$27,0)),"Not in reference table"))</f>
        <v/>
      </c>
      <c r="O9" s="28" t="str">
        <f aca="false">IF(G9="","",IFERROR(INDEX('Algorithm Reference'!$D$5:$D$27,MATCH(G9,'Algorithm Reference'!$A$5:$A$27,0)),""))</f>
        <v/>
      </c>
      <c r="P9" s="29" t="str">
        <f aca="false">IF(I9="","",MAX(0,I9-'Planning Assumptions'!$B$5))</f>
        <v/>
      </c>
      <c r="Q9" s="28" t="str">
        <f aca="false">IF(P9="","",IF(P9&lt;=2,"0 to 2 years",IF(P9&lt;=5,"3 to 5 years",IF(P9&lt;=10,"6 to 10 years",IF(P9&lt;=20,"11 to 20 years","Over 20 years or permanent")))))</f>
        <v/>
      </c>
      <c r="R9" s="22" t="str">
        <f aca="false">IF(OR(G9="",I9=""),"",IF(AND(IFERROR(INDEX('Algorithm Reference'!$E$5:$E$27,MATCH(G9,'Algorithm Reference'!$A$5:$A$27,0)),6)&gt;=5,OR(H9="Key exchange",H9="Encryption in transit",H9="Encryption at rest",H9="Multiple purposes"),P9+'Planning Assumptions'!$B$7&gt;'Planning Assumptions'!$B$6-'Planning Assumptions'!$B$5),"EXPOSED","Within tolerance"))</f>
        <v/>
      </c>
      <c r="S9" s="17" t="str">
        <f aca="false">IF(G9="","",IFERROR(INDEX('Algorithm Reference'!$E$5:$E$27,MATCH(G9,'Algorithm Reference'!$A$5:$A$27,0)),6)+IFERROR(INDEX('Algorithm Reference'!$C$33:$C$60,MATCH(Q9,'Algorithm Reference'!$B$33:$B$60,0)),6)+IFERROR(INDEX('Algorithm Reference'!$C$33:$C$60,MATCH(J9,'Algorithm Reference'!$B$33:$B$60,0)),4)+IFERROR(INDEX('Algorithm Reference'!$C$33:$C$60,MATCH(K9,'Algorithm Reference'!$B$33:$B$60,0)),4)+IFERROR(INDEX('Algorithm Reference'!$C$33:$C$60,MATCH(L9,'Algorithm Reference'!$B$33:$B$60,0)),4)+IFERROR(INDEX('Algorithm Reference'!$C$33:$C$60,MATCH(M9,'Algorithm Reference'!$B$33:$B$60,0)),0))</f>
        <v/>
      </c>
      <c r="T9" s="28" t="str">
        <f aca="false">IF(S9="","",IFERROR(INDEX('Algorithm Reference'!$B$64:$B$67,MATCH(S9,'Algorithm Reference'!$A$64:$A$67,1)),""))</f>
        <v/>
      </c>
      <c r="U9" s="30"/>
    </row>
    <row r="10" customFormat="false" ht="30" hidden="false" customHeight="true" outlineLevel="0" collapsed="false">
      <c r="A10" s="30"/>
      <c r="B10" s="30"/>
      <c r="C10" s="30"/>
      <c r="D10" s="30"/>
      <c r="E10" s="30"/>
      <c r="F10" s="30"/>
      <c r="G10" s="30"/>
      <c r="H10" s="30"/>
      <c r="I10" s="15"/>
      <c r="J10" s="30"/>
      <c r="K10" s="30"/>
      <c r="L10" s="30"/>
      <c r="M10" s="30"/>
      <c r="N10" s="28" t="str">
        <f aca="false">IF(G10="","",IFERROR(INDEX('Algorithm Reference'!$C$5:$C$27,MATCH(G10,'Algorithm Reference'!$A$5:$A$27,0)),"Not in reference table"))</f>
        <v/>
      </c>
      <c r="O10" s="28" t="str">
        <f aca="false">IF(G10="","",IFERROR(INDEX('Algorithm Reference'!$D$5:$D$27,MATCH(G10,'Algorithm Reference'!$A$5:$A$27,0)),""))</f>
        <v/>
      </c>
      <c r="P10" s="29" t="str">
        <f aca="false">IF(I10="","",MAX(0,I10-'Planning Assumptions'!$B$5))</f>
        <v/>
      </c>
      <c r="Q10" s="28" t="str">
        <f aca="false">IF(P10="","",IF(P10&lt;=2,"0 to 2 years",IF(P10&lt;=5,"3 to 5 years",IF(P10&lt;=10,"6 to 10 years",IF(P10&lt;=20,"11 to 20 years","Over 20 years or permanent")))))</f>
        <v/>
      </c>
      <c r="R10" s="22" t="str">
        <f aca="false">IF(OR(G10="",I10=""),"",IF(AND(IFERROR(INDEX('Algorithm Reference'!$E$5:$E$27,MATCH(G10,'Algorithm Reference'!$A$5:$A$27,0)),6)&gt;=5,OR(H10="Key exchange",H10="Encryption in transit",H10="Encryption at rest",H10="Multiple purposes"),P10+'Planning Assumptions'!$B$7&gt;'Planning Assumptions'!$B$6-'Planning Assumptions'!$B$5),"EXPOSED","Within tolerance"))</f>
        <v/>
      </c>
      <c r="S10" s="17" t="str">
        <f aca="false">IF(G10="","",IFERROR(INDEX('Algorithm Reference'!$E$5:$E$27,MATCH(G10,'Algorithm Reference'!$A$5:$A$27,0)),6)+IFERROR(INDEX('Algorithm Reference'!$C$33:$C$60,MATCH(Q10,'Algorithm Reference'!$B$33:$B$60,0)),6)+IFERROR(INDEX('Algorithm Reference'!$C$33:$C$60,MATCH(J10,'Algorithm Reference'!$B$33:$B$60,0)),4)+IFERROR(INDEX('Algorithm Reference'!$C$33:$C$60,MATCH(K10,'Algorithm Reference'!$B$33:$B$60,0)),4)+IFERROR(INDEX('Algorithm Reference'!$C$33:$C$60,MATCH(L10,'Algorithm Reference'!$B$33:$B$60,0)),4)+IFERROR(INDEX('Algorithm Reference'!$C$33:$C$60,MATCH(M10,'Algorithm Reference'!$B$33:$B$60,0)),0))</f>
        <v/>
      </c>
      <c r="T10" s="28" t="str">
        <f aca="false">IF(S10="","",IFERROR(INDEX('Algorithm Reference'!$B$64:$B$67,MATCH(S10,'Algorithm Reference'!$A$64:$A$67,1)),""))</f>
        <v/>
      </c>
      <c r="U10" s="30"/>
    </row>
    <row r="11" customFormat="false" ht="30" hidden="false" customHeight="true" outlineLevel="0" collapsed="false">
      <c r="A11" s="30"/>
      <c r="B11" s="30"/>
      <c r="C11" s="30"/>
      <c r="D11" s="30"/>
      <c r="E11" s="30"/>
      <c r="F11" s="30"/>
      <c r="G11" s="30"/>
      <c r="H11" s="30"/>
      <c r="I11" s="15"/>
      <c r="J11" s="30"/>
      <c r="K11" s="30"/>
      <c r="L11" s="30"/>
      <c r="M11" s="30"/>
      <c r="N11" s="28" t="str">
        <f aca="false">IF(G11="","",IFERROR(INDEX('Algorithm Reference'!$C$5:$C$27,MATCH(G11,'Algorithm Reference'!$A$5:$A$27,0)),"Not in reference table"))</f>
        <v/>
      </c>
      <c r="O11" s="28" t="str">
        <f aca="false">IF(G11="","",IFERROR(INDEX('Algorithm Reference'!$D$5:$D$27,MATCH(G11,'Algorithm Reference'!$A$5:$A$27,0)),""))</f>
        <v/>
      </c>
      <c r="P11" s="29" t="str">
        <f aca="false">IF(I11="","",MAX(0,I11-'Planning Assumptions'!$B$5))</f>
        <v/>
      </c>
      <c r="Q11" s="28" t="str">
        <f aca="false">IF(P11="","",IF(P11&lt;=2,"0 to 2 years",IF(P11&lt;=5,"3 to 5 years",IF(P11&lt;=10,"6 to 10 years",IF(P11&lt;=20,"11 to 20 years","Over 20 years or permanent")))))</f>
        <v/>
      </c>
      <c r="R11" s="22" t="str">
        <f aca="false">IF(OR(G11="",I11=""),"",IF(AND(IFERROR(INDEX('Algorithm Reference'!$E$5:$E$27,MATCH(G11,'Algorithm Reference'!$A$5:$A$27,0)),6)&gt;=5,OR(H11="Key exchange",H11="Encryption in transit",H11="Encryption at rest",H11="Multiple purposes"),P11+'Planning Assumptions'!$B$7&gt;'Planning Assumptions'!$B$6-'Planning Assumptions'!$B$5),"EXPOSED","Within tolerance"))</f>
        <v/>
      </c>
      <c r="S11" s="17" t="str">
        <f aca="false">IF(G11="","",IFERROR(INDEX('Algorithm Reference'!$E$5:$E$27,MATCH(G11,'Algorithm Reference'!$A$5:$A$27,0)),6)+IFERROR(INDEX('Algorithm Reference'!$C$33:$C$60,MATCH(Q11,'Algorithm Reference'!$B$33:$B$60,0)),6)+IFERROR(INDEX('Algorithm Reference'!$C$33:$C$60,MATCH(J11,'Algorithm Reference'!$B$33:$B$60,0)),4)+IFERROR(INDEX('Algorithm Reference'!$C$33:$C$60,MATCH(K11,'Algorithm Reference'!$B$33:$B$60,0)),4)+IFERROR(INDEX('Algorithm Reference'!$C$33:$C$60,MATCH(L11,'Algorithm Reference'!$B$33:$B$60,0)),4)+IFERROR(INDEX('Algorithm Reference'!$C$33:$C$60,MATCH(M11,'Algorithm Reference'!$B$33:$B$60,0)),0))</f>
        <v/>
      </c>
      <c r="T11" s="28" t="str">
        <f aca="false">IF(S11="","",IFERROR(INDEX('Algorithm Reference'!$B$64:$B$67,MATCH(S11,'Algorithm Reference'!$A$64:$A$67,1)),""))</f>
        <v/>
      </c>
      <c r="U11" s="30"/>
    </row>
    <row r="12" customFormat="false" ht="30" hidden="false" customHeight="true" outlineLevel="0" collapsed="false">
      <c r="A12" s="30"/>
      <c r="B12" s="30"/>
      <c r="C12" s="30"/>
      <c r="D12" s="30"/>
      <c r="E12" s="30"/>
      <c r="F12" s="30"/>
      <c r="G12" s="30"/>
      <c r="H12" s="30"/>
      <c r="I12" s="15"/>
      <c r="J12" s="30"/>
      <c r="K12" s="30"/>
      <c r="L12" s="30"/>
      <c r="M12" s="30"/>
      <c r="N12" s="28" t="str">
        <f aca="false">IF(G12="","",IFERROR(INDEX('Algorithm Reference'!$C$5:$C$27,MATCH(G12,'Algorithm Reference'!$A$5:$A$27,0)),"Not in reference table"))</f>
        <v/>
      </c>
      <c r="O12" s="28" t="str">
        <f aca="false">IF(G12="","",IFERROR(INDEX('Algorithm Reference'!$D$5:$D$27,MATCH(G12,'Algorithm Reference'!$A$5:$A$27,0)),""))</f>
        <v/>
      </c>
      <c r="P12" s="29" t="str">
        <f aca="false">IF(I12="","",MAX(0,I12-'Planning Assumptions'!$B$5))</f>
        <v/>
      </c>
      <c r="Q12" s="28" t="str">
        <f aca="false">IF(P12="","",IF(P12&lt;=2,"0 to 2 years",IF(P12&lt;=5,"3 to 5 years",IF(P12&lt;=10,"6 to 10 years",IF(P12&lt;=20,"11 to 20 years","Over 20 years or permanent")))))</f>
        <v/>
      </c>
      <c r="R12" s="22" t="str">
        <f aca="false">IF(OR(G12="",I12=""),"",IF(AND(IFERROR(INDEX('Algorithm Reference'!$E$5:$E$27,MATCH(G12,'Algorithm Reference'!$A$5:$A$27,0)),6)&gt;=5,OR(H12="Key exchange",H12="Encryption in transit",H12="Encryption at rest",H12="Multiple purposes"),P12+'Planning Assumptions'!$B$7&gt;'Planning Assumptions'!$B$6-'Planning Assumptions'!$B$5),"EXPOSED","Within tolerance"))</f>
        <v/>
      </c>
      <c r="S12" s="17" t="str">
        <f aca="false">IF(G12="","",IFERROR(INDEX('Algorithm Reference'!$E$5:$E$27,MATCH(G12,'Algorithm Reference'!$A$5:$A$27,0)),6)+IFERROR(INDEX('Algorithm Reference'!$C$33:$C$60,MATCH(Q12,'Algorithm Reference'!$B$33:$B$60,0)),6)+IFERROR(INDEX('Algorithm Reference'!$C$33:$C$60,MATCH(J12,'Algorithm Reference'!$B$33:$B$60,0)),4)+IFERROR(INDEX('Algorithm Reference'!$C$33:$C$60,MATCH(K12,'Algorithm Reference'!$B$33:$B$60,0)),4)+IFERROR(INDEX('Algorithm Reference'!$C$33:$C$60,MATCH(L12,'Algorithm Reference'!$B$33:$B$60,0)),4)+IFERROR(INDEX('Algorithm Reference'!$C$33:$C$60,MATCH(M12,'Algorithm Reference'!$B$33:$B$60,0)),0))</f>
        <v/>
      </c>
      <c r="T12" s="28" t="str">
        <f aca="false">IF(S12="","",IFERROR(INDEX('Algorithm Reference'!$B$64:$B$67,MATCH(S12,'Algorithm Reference'!$A$64:$A$67,1)),""))</f>
        <v/>
      </c>
      <c r="U12" s="30"/>
    </row>
    <row r="13" customFormat="false" ht="30" hidden="false" customHeight="true" outlineLevel="0" collapsed="false">
      <c r="A13" s="30"/>
      <c r="B13" s="30"/>
      <c r="C13" s="30"/>
      <c r="D13" s="30"/>
      <c r="E13" s="30"/>
      <c r="F13" s="30"/>
      <c r="G13" s="30"/>
      <c r="H13" s="30"/>
      <c r="I13" s="15"/>
      <c r="J13" s="30"/>
      <c r="K13" s="30"/>
      <c r="L13" s="30"/>
      <c r="M13" s="30"/>
      <c r="N13" s="28" t="str">
        <f aca="false">IF(G13="","",IFERROR(INDEX('Algorithm Reference'!$C$5:$C$27,MATCH(G13,'Algorithm Reference'!$A$5:$A$27,0)),"Not in reference table"))</f>
        <v/>
      </c>
      <c r="O13" s="28" t="str">
        <f aca="false">IF(G13="","",IFERROR(INDEX('Algorithm Reference'!$D$5:$D$27,MATCH(G13,'Algorithm Reference'!$A$5:$A$27,0)),""))</f>
        <v/>
      </c>
      <c r="P13" s="29" t="str">
        <f aca="false">IF(I13="","",MAX(0,I13-'Planning Assumptions'!$B$5))</f>
        <v/>
      </c>
      <c r="Q13" s="28" t="str">
        <f aca="false">IF(P13="","",IF(P13&lt;=2,"0 to 2 years",IF(P13&lt;=5,"3 to 5 years",IF(P13&lt;=10,"6 to 10 years",IF(P13&lt;=20,"11 to 20 years","Over 20 years or permanent")))))</f>
        <v/>
      </c>
      <c r="R13" s="22" t="str">
        <f aca="false">IF(OR(G13="",I13=""),"",IF(AND(IFERROR(INDEX('Algorithm Reference'!$E$5:$E$27,MATCH(G13,'Algorithm Reference'!$A$5:$A$27,0)),6)&gt;=5,OR(H13="Key exchange",H13="Encryption in transit",H13="Encryption at rest",H13="Multiple purposes"),P13+'Planning Assumptions'!$B$7&gt;'Planning Assumptions'!$B$6-'Planning Assumptions'!$B$5),"EXPOSED","Within tolerance"))</f>
        <v/>
      </c>
      <c r="S13" s="17" t="str">
        <f aca="false">IF(G13="","",IFERROR(INDEX('Algorithm Reference'!$E$5:$E$27,MATCH(G13,'Algorithm Reference'!$A$5:$A$27,0)),6)+IFERROR(INDEX('Algorithm Reference'!$C$33:$C$60,MATCH(Q13,'Algorithm Reference'!$B$33:$B$60,0)),6)+IFERROR(INDEX('Algorithm Reference'!$C$33:$C$60,MATCH(J13,'Algorithm Reference'!$B$33:$B$60,0)),4)+IFERROR(INDEX('Algorithm Reference'!$C$33:$C$60,MATCH(K13,'Algorithm Reference'!$B$33:$B$60,0)),4)+IFERROR(INDEX('Algorithm Reference'!$C$33:$C$60,MATCH(L13,'Algorithm Reference'!$B$33:$B$60,0)),4)+IFERROR(INDEX('Algorithm Reference'!$C$33:$C$60,MATCH(M13,'Algorithm Reference'!$B$33:$B$60,0)),0))</f>
        <v/>
      </c>
      <c r="T13" s="28" t="str">
        <f aca="false">IF(S13="","",IFERROR(INDEX('Algorithm Reference'!$B$64:$B$67,MATCH(S13,'Algorithm Reference'!$A$64:$A$67,1)),""))</f>
        <v/>
      </c>
      <c r="U13" s="30"/>
    </row>
    <row r="14" customFormat="false" ht="30" hidden="false" customHeight="true" outlineLevel="0" collapsed="false">
      <c r="A14" s="30"/>
      <c r="B14" s="30"/>
      <c r="C14" s="30"/>
      <c r="D14" s="30"/>
      <c r="E14" s="30"/>
      <c r="F14" s="30"/>
      <c r="G14" s="30"/>
      <c r="H14" s="30"/>
      <c r="I14" s="15"/>
      <c r="J14" s="30"/>
      <c r="K14" s="30"/>
      <c r="L14" s="30"/>
      <c r="M14" s="30"/>
      <c r="N14" s="28" t="str">
        <f aca="false">IF(G14="","",IFERROR(INDEX('Algorithm Reference'!$C$5:$C$27,MATCH(G14,'Algorithm Reference'!$A$5:$A$27,0)),"Not in reference table"))</f>
        <v/>
      </c>
      <c r="O14" s="28" t="str">
        <f aca="false">IF(G14="","",IFERROR(INDEX('Algorithm Reference'!$D$5:$D$27,MATCH(G14,'Algorithm Reference'!$A$5:$A$27,0)),""))</f>
        <v/>
      </c>
      <c r="P14" s="29" t="str">
        <f aca="false">IF(I14="","",MAX(0,I14-'Planning Assumptions'!$B$5))</f>
        <v/>
      </c>
      <c r="Q14" s="28" t="str">
        <f aca="false">IF(P14="","",IF(P14&lt;=2,"0 to 2 years",IF(P14&lt;=5,"3 to 5 years",IF(P14&lt;=10,"6 to 10 years",IF(P14&lt;=20,"11 to 20 years","Over 20 years or permanent")))))</f>
        <v/>
      </c>
      <c r="R14" s="22" t="str">
        <f aca="false">IF(OR(G14="",I14=""),"",IF(AND(IFERROR(INDEX('Algorithm Reference'!$E$5:$E$27,MATCH(G14,'Algorithm Reference'!$A$5:$A$27,0)),6)&gt;=5,OR(H14="Key exchange",H14="Encryption in transit",H14="Encryption at rest",H14="Multiple purposes"),P14+'Planning Assumptions'!$B$7&gt;'Planning Assumptions'!$B$6-'Planning Assumptions'!$B$5),"EXPOSED","Within tolerance"))</f>
        <v/>
      </c>
      <c r="S14" s="17" t="str">
        <f aca="false">IF(G14="","",IFERROR(INDEX('Algorithm Reference'!$E$5:$E$27,MATCH(G14,'Algorithm Reference'!$A$5:$A$27,0)),6)+IFERROR(INDEX('Algorithm Reference'!$C$33:$C$60,MATCH(Q14,'Algorithm Reference'!$B$33:$B$60,0)),6)+IFERROR(INDEX('Algorithm Reference'!$C$33:$C$60,MATCH(J14,'Algorithm Reference'!$B$33:$B$60,0)),4)+IFERROR(INDEX('Algorithm Reference'!$C$33:$C$60,MATCH(K14,'Algorithm Reference'!$B$33:$B$60,0)),4)+IFERROR(INDEX('Algorithm Reference'!$C$33:$C$60,MATCH(L14,'Algorithm Reference'!$B$33:$B$60,0)),4)+IFERROR(INDEX('Algorithm Reference'!$C$33:$C$60,MATCH(M14,'Algorithm Reference'!$B$33:$B$60,0)),0))</f>
        <v/>
      </c>
      <c r="T14" s="28" t="str">
        <f aca="false">IF(S14="","",IFERROR(INDEX('Algorithm Reference'!$B$64:$B$67,MATCH(S14,'Algorithm Reference'!$A$64:$A$67,1)),""))</f>
        <v/>
      </c>
      <c r="U14" s="30"/>
    </row>
    <row r="15" customFormat="false" ht="30" hidden="false" customHeight="true" outlineLevel="0" collapsed="false">
      <c r="A15" s="30"/>
      <c r="B15" s="30"/>
      <c r="C15" s="30"/>
      <c r="D15" s="30"/>
      <c r="E15" s="30"/>
      <c r="F15" s="30"/>
      <c r="G15" s="30"/>
      <c r="H15" s="30"/>
      <c r="I15" s="15"/>
      <c r="J15" s="30"/>
      <c r="K15" s="30"/>
      <c r="L15" s="30"/>
      <c r="M15" s="30"/>
      <c r="N15" s="28" t="str">
        <f aca="false">IF(G15="","",IFERROR(INDEX('Algorithm Reference'!$C$5:$C$27,MATCH(G15,'Algorithm Reference'!$A$5:$A$27,0)),"Not in reference table"))</f>
        <v/>
      </c>
      <c r="O15" s="28" t="str">
        <f aca="false">IF(G15="","",IFERROR(INDEX('Algorithm Reference'!$D$5:$D$27,MATCH(G15,'Algorithm Reference'!$A$5:$A$27,0)),""))</f>
        <v/>
      </c>
      <c r="P15" s="29" t="str">
        <f aca="false">IF(I15="","",MAX(0,I15-'Planning Assumptions'!$B$5))</f>
        <v/>
      </c>
      <c r="Q15" s="28" t="str">
        <f aca="false">IF(P15="","",IF(P15&lt;=2,"0 to 2 years",IF(P15&lt;=5,"3 to 5 years",IF(P15&lt;=10,"6 to 10 years",IF(P15&lt;=20,"11 to 20 years","Over 20 years or permanent")))))</f>
        <v/>
      </c>
      <c r="R15" s="22" t="str">
        <f aca="false">IF(OR(G15="",I15=""),"",IF(AND(IFERROR(INDEX('Algorithm Reference'!$E$5:$E$27,MATCH(G15,'Algorithm Reference'!$A$5:$A$27,0)),6)&gt;=5,OR(H15="Key exchange",H15="Encryption in transit",H15="Encryption at rest",H15="Multiple purposes"),P15+'Planning Assumptions'!$B$7&gt;'Planning Assumptions'!$B$6-'Planning Assumptions'!$B$5),"EXPOSED","Within tolerance"))</f>
        <v/>
      </c>
      <c r="S15" s="17" t="str">
        <f aca="false">IF(G15="","",IFERROR(INDEX('Algorithm Reference'!$E$5:$E$27,MATCH(G15,'Algorithm Reference'!$A$5:$A$27,0)),6)+IFERROR(INDEX('Algorithm Reference'!$C$33:$C$60,MATCH(Q15,'Algorithm Reference'!$B$33:$B$60,0)),6)+IFERROR(INDEX('Algorithm Reference'!$C$33:$C$60,MATCH(J15,'Algorithm Reference'!$B$33:$B$60,0)),4)+IFERROR(INDEX('Algorithm Reference'!$C$33:$C$60,MATCH(K15,'Algorithm Reference'!$B$33:$B$60,0)),4)+IFERROR(INDEX('Algorithm Reference'!$C$33:$C$60,MATCH(L15,'Algorithm Reference'!$B$33:$B$60,0)),4)+IFERROR(INDEX('Algorithm Reference'!$C$33:$C$60,MATCH(M15,'Algorithm Reference'!$B$33:$B$60,0)),0))</f>
        <v/>
      </c>
      <c r="T15" s="28" t="str">
        <f aca="false">IF(S15="","",IFERROR(INDEX('Algorithm Reference'!$B$64:$B$67,MATCH(S15,'Algorithm Reference'!$A$64:$A$67,1)),""))</f>
        <v/>
      </c>
      <c r="U15" s="30"/>
    </row>
    <row r="16" customFormat="false" ht="30" hidden="false" customHeight="true" outlineLevel="0" collapsed="false">
      <c r="A16" s="30"/>
      <c r="B16" s="30"/>
      <c r="C16" s="30"/>
      <c r="D16" s="30"/>
      <c r="E16" s="30"/>
      <c r="F16" s="30"/>
      <c r="G16" s="30"/>
      <c r="H16" s="30"/>
      <c r="I16" s="15"/>
      <c r="J16" s="30"/>
      <c r="K16" s="30"/>
      <c r="L16" s="30"/>
      <c r="M16" s="30"/>
      <c r="N16" s="28" t="str">
        <f aca="false">IF(G16="","",IFERROR(INDEX('Algorithm Reference'!$C$5:$C$27,MATCH(G16,'Algorithm Reference'!$A$5:$A$27,0)),"Not in reference table"))</f>
        <v/>
      </c>
      <c r="O16" s="28" t="str">
        <f aca="false">IF(G16="","",IFERROR(INDEX('Algorithm Reference'!$D$5:$D$27,MATCH(G16,'Algorithm Reference'!$A$5:$A$27,0)),""))</f>
        <v/>
      </c>
      <c r="P16" s="29" t="str">
        <f aca="false">IF(I16="","",MAX(0,I16-'Planning Assumptions'!$B$5))</f>
        <v/>
      </c>
      <c r="Q16" s="28" t="str">
        <f aca="false">IF(P16="","",IF(P16&lt;=2,"0 to 2 years",IF(P16&lt;=5,"3 to 5 years",IF(P16&lt;=10,"6 to 10 years",IF(P16&lt;=20,"11 to 20 years","Over 20 years or permanent")))))</f>
        <v/>
      </c>
      <c r="R16" s="22" t="str">
        <f aca="false">IF(OR(G16="",I16=""),"",IF(AND(IFERROR(INDEX('Algorithm Reference'!$E$5:$E$27,MATCH(G16,'Algorithm Reference'!$A$5:$A$27,0)),6)&gt;=5,OR(H16="Key exchange",H16="Encryption in transit",H16="Encryption at rest",H16="Multiple purposes"),P16+'Planning Assumptions'!$B$7&gt;'Planning Assumptions'!$B$6-'Planning Assumptions'!$B$5),"EXPOSED","Within tolerance"))</f>
        <v/>
      </c>
      <c r="S16" s="17" t="str">
        <f aca="false">IF(G16="","",IFERROR(INDEX('Algorithm Reference'!$E$5:$E$27,MATCH(G16,'Algorithm Reference'!$A$5:$A$27,0)),6)+IFERROR(INDEX('Algorithm Reference'!$C$33:$C$60,MATCH(Q16,'Algorithm Reference'!$B$33:$B$60,0)),6)+IFERROR(INDEX('Algorithm Reference'!$C$33:$C$60,MATCH(J16,'Algorithm Reference'!$B$33:$B$60,0)),4)+IFERROR(INDEX('Algorithm Reference'!$C$33:$C$60,MATCH(K16,'Algorithm Reference'!$B$33:$B$60,0)),4)+IFERROR(INDEX('Algorithm Reference'!$C$33:$C$60,MATCH(L16,'Algorithm Reference'!$B$33:$B$60,0)),4)+IFERROR(INDEX('Algorithm Reference'!$C$33:$C$60,MATCH(M16,'Algorithm Reference'!$B$33:$B$60,0)),0))</f>
        <v/>
      </c>
      <c r="T16" s="28" t="str">
        <f aca="false">IF(S16="","",IFERROR(INDEX('Algorithm Reference'!$B$64:$B$67,MATCH(S16,'Algorithm Reference'!$A$64:$A$67,1)),""))</f>
        <v/>
      </c>
      <c r="U16" s="30"/>
    </row>
    <row r="17" customFormat="false" ht="30" hidden="false" customHeight="true" outlineLevel="0" collapsed="false">
      <c r="A17" s="30"/>
      <c r="B17" s="30"/>
      <c r="C17" s="30"/>
      <c r="D17" s="30"/>
      <c r="E17" s="30"/>
      <c r="F17" s="30"/>
      <c r="G17" s="30"/>
      <c r="H17" s="30"/>
      <c r="I17" s="15"/>
      <c r="J17" s="30"/>
      <c r="K17" s="30"/>
      <c r="L17" s="30"/>
      <c r="M17" s="30"/>
      <c r="N17" s="28" t="str">
        <f aca="false">IF(G17="","",IFERROR(INDEX('Algorithm Reference'!$C$5:$C$27,MATCH(G17,'Algorithm Reference'!$A$5:$A$27,0)),"Not in reference table"))</f>
        <v/>
      </c>
      <c r="O17" s="28" t="str">
        <f aca="false">IF(G17="","",IFERROR(INDEX('Algorithm Reference'!$D$5:$D$27,MATCH(G17,'Algorithm Reference'!$A$5:$A$27,0)),""))</f>
        <v/>
      </c>
      <c r="P17" s="29" t="str">
        <f aca="false">IF(I17="","",MAX(0,I17-'Planning Assumptions'!$B$5))</f>
        <v/>
      </c>
      <c r="Q17" s="28" t="str">
        <f aca="false">IF(P17="","",IF(P17&lt;=2,"0 to 2 years",IF(P17&lt;=5,"3 to 5 years",IF(P17&lt;=10,"6 to 10 years",IF(P17&lt;=20,"11 to 20 years","Over 20 years or permanent")))))</f>
        <v/>
      </c>
      <c r="R17" s="22" t="str">
        <f aca="false">IF(OR(G17="",I17=""),"",IF(AND(IFERROR(INDEX('Algorithm Reference'!$E$5:$E$27,MATCH(G17,'Algorithm Reference'!$A$5:$A$27,0)),6)&gt;=5,OR(H17="Key exchange",H17="Encryption in transit",H17="Encryption at rest",H17="Multiple purposes"),P17+'Planning Assumptions'!$B$7&gt;'Planning Assumptions'!$B$6-'Planning Assumptions'!$B$5),"EXPOSED","Within tolerance"))</f>
        <v/>
      </c>
      <c r="S17" s="17" t="str">
        <f aca="false">IF(G17="","",IFERROR(INDEX('Algorithm Reference'!$E$5:$E$27,MATCH(G17,'Algorithm Reference'!$A$5:$A$27,0)),6)+IFERROR(INDEX('Algorithm Reference'!$C$33:$C$60,MATCH(Q17,'Algorithm Reference'!$B$33:$B$60,0)),6)+IFERROR(INDEX('Algorithm Reference'!$C$33:$C$60,MATCH(J17,'Algorithm Reference'!$B$33:$B$60,0)),4)+IFERROR(INDEX('Algorithm Reference'!$C$33:$C$60,MATCH(K17,'Algorithm Reference'!$B$33:$B$60,0)),4)+IFERROR(INDEX('Algorithm Reference'!$C$33:$C$60,MATCH(L17,'Algorithm Reference'!$B$33:$B$60,0)),4)+IFERROR(INDEX('Algorithm Reference'!$C$33:$C$60,MATCH(M17,'Algorithm Reference'!$B$33:$B$60,0)),0))</f>
        <v/>
      </c>
      <c r="T17" s="28" t="str">
        <f aca="false">IF(S17="","",IFERROR(INDEX('Algorithm Reference'!$B$64:$B$67,MATCH(S17,'Algorithm Reference'!$A$64:$A$67,1)),""))</f>
        <v/>
      </c>
      <c r="U17" s="30"/>
    </row>
    <row r="18" customFormat="false" ht="30" hidden="false" customHeight="true" outlineLevel="0" collapsed="false">
      <c r="A18" s="30"/>
      <c r="B18" s="30"/>
      <c r="C18" s="30"/>
      <c r="D18" s="30"/>
      <c r="E18" s="30"/>
      <c r="F18" s="30"/>
      <c r="G18" s="30"/>
      <c r="H18" s="30"/>
      <c r="I18" s="15"/>
      <c r="J18" s="30"/>
      <c r="K18" s="30"/>
      <c r="L18" s="30"/>
      <c r="M18" s="30"/>
      <c r="N18" s="28" t="str">
        <f aca="false">IF(G18="","",IFERROR(INDEX('Algorithm Reference'!$C$5:$C$27,MATCH(G18,'Algorithm Reference'!$A$5:$A$27,0)),"Not in reference table"))</f>
        <v/>
      </c>
      <c r="O18" s="28" t="str">
        <f aca="false">IF(G18="","",IFERROR(INDEX('Algorithm Reference'!$D$5:$D$27,MATCH(G18,'Algorithm Reference'!$A$5:$A$27,0)),""))</f>
        <v/>
      </c>
      <c r="P18" s="29" t="str">
        <f aca="false">IF(I18="","",MAX(0,I18-'Planning Assumptions'!$B$5))</f>
        <v/>
      </c>
      <c r="Q18" s="28" t="str">
        <f aca="false">IF(P18="","",IF(P18&lt;=2,"0 to 2 years",IF(P18&lt;=5,"3 to 5 years",IF(P18&lt;=10,"6 to 10 years",IF(P18&lt;=20,"11 to 20 years","Over 20 years or permanent")))))</f>
        <v/>
      </c>
      <c r="R18" s="22" t="str">
        <f aca="false">IF(OR(G18="",I18=""),"",IF(AND(IFERROR(INDEX('Algorithm Reference'!$E$5:$E$27,MATCH(G18,'Algorithm Reference'!$A$5:$A$27,0)),6)&gt;=5,OR(H18="Key exchange",H18="Encryption in transit",H18="Encryption at rest",H18="Multiple purposes"),P18+'Planning Assumptions'!$B$7&gt;'Planning Assumptions'!$B$6-'Planning Assumptions'!$B$5),"EXPOSED","Within tolerance"))</f>
        <v/>
      </c>
      <c r="S18" s="17" t="str">
        <f aca="false">IF(G18="","",IFERROR(INDEX('Algorithm Reference'!$E$5:$E$27,MATCH(G18,'Algorithm Reference'!$A$5:$A$27,0)),6)+IFERROR(INDEX('Algorithm Reference'!$C$33:$C$60,MATCH(Q18,'Algorithm Reference'!$B$33:$B$60,0)),6)+IFERROR(INDEX('Algorithm Reference'!$C$33:$C$60,MATCH(J18,'Algorithm Reference'!$B$33:$B$60,0)),4)+IFERROR(INDEX('Algorithm Reference'!$C$33:$C$60,MATCH(K18,'Algorithm Reference'!$B$33:$B$60,0)),4)+IFERROR(INDEX('Algorithm Reference'!$C$33:$C$60,MATCH(L18,'Algorithm Reference'!$B$33:$B$60,0)),4)+IFERROR(INDEX('Algorithm Reference'!$C$33:$C$60,MATCH(M18,'Algorithm Reference'!$B$33:$B$60,0)),0))</f>
        <v/>
      </c>
      <c r="T18" s="28" t="str">
        <f aca="false">IF(S18="","",IFERROR(INDEX('Algorithm Reference'!$B$64:$B$67,MATCH(S18,'Algorithm Reference'!$A$64:$A$67,1)),""))</f>
        <v/>
      </c>
      <c r="U18" s="30"/>
    </row>
    <row r="19" customFormat="false" ht="30" hidden="false" customHeight="true" outlineLevel="0" collapsed="false">
      <c r="A19" s="30"/>
      <c r="B19" s="30"/>
      <c r="C19" s="30"/>
      <c r="D19" s="30"/>
      <c r="E19" s="30"/>
      <c r="F19" s="30"/>
      <c r="G19" s="30"/>
      <c r="H19" s="30"/>
      <c r="I19" s="15"/>
      <c r="J19" s="30"/>
      <c r="K19" s="30"/>
      <c r="L19" s="30"/>
      <c r="M19" s="30"/>
      <c r="N19" s="28" t="str">
        <f aca="false">IF(G19="","",IFERROR(INDEX('Algorithm Reference'!$C$5:$C$27,MATCH(G19,'Algorithm Reference'!$A$5:$A$27,0)),"Not in reference table"))</f>
        <v/>
      </c>
      <c r="O19" s="28" t="str">
        <f aca="false">IF(G19="","",IFERROR(INDEX('Algorithm Reference'!$D$5:$D$27,MATCH(G19,'Algorithm Reference'!$A$5:$A$27,0)),""))</f>
        <v/>
      </c>
      <c r="P19" s="29" t="str">
        <f aca="false">IF(I19="","",MAX(0,I19-'Planning Assumptions'!$B$5))</f>
        <v/>
      </c>
      <c r="Q19" s="28" t="str">
        <f aca="false">IF(P19="","",IF(P19&lt;=2,"0 to 2 years",IF(P19&lt;=5,"3 to 5 years",IF(P19&lt;=10,"6 to 10 years",IF(P19&lt;=20,"11 to 20 years","Over 20 years or permanent")))))</f>
        <v/>
      </c>
      <c r="R19" s="22" t="str">
        <f aca="false">IF(OR(G19="",I19=""),"",IF(AND(IFERROR(INDEX('Algorithm Reference'!$E$5:$E$27,MATCH(G19,'Algorithm Reference'!$A$5:$A$27,0)),6)&gt;=5,OR(H19="Key exchange",H19="Encryption in transit",H19="Encryption at rest",H19="Multiple purposes"),P19+'Planning Assumptions'!$B$7&gt;'Planning Assumptions'!$B$6-'Planning Assumptions'!$B$5),"EXPOSED","Within tolerance"))</f>
        <v/>
      </c>
      <c r="S19" s="17" t="str">
        <f aca="false">IF(G19="","",IFERROR(INDEX('Algorithm Reference'!$E$5:$E$27,MATCH(G19,'Algorithm Reference'!$A$5:$A$27,0)),6)+IFERROR(INDEX('Algorithm Reference'!$C$33:$C$60,MATCH(Q19,'Algorithm Reference'!$B$33:$B$60,0)),6)+IFERROR(INDEX('Algorithm Reference'!$C$33:$C$60,MATCH(J19,'Algorithm Reference'!$B$33:$B$60,0)),4)+IFERROR(INDEX('Algorithm Reference'!$C$33:$C$60,MATCH(K19,'Algorithm Reference'!$B$33:$B$60,0)),4)+IFERROR(INDEX('Algorithm Reference'!$C$33:$C$60,MATCH(L19,'Algorithm Reference'!$B$33:$B$60,0)),4)+IFERROR(INDEX('Algorithm Reference'!$C$33:$C$60,MATCH(M19,'Algorithm Reference'!$B$33:$B$60,0)),0))</f>
        <v/>
      </c>
      <c r="T19" s="28" t="str">
        <f aca="false">IF(S19="","",IFERROR(INDEX('Algorithm Reference'!$B$64:$B$67,MATCH(S19,'Algorithm Reference'!$A$64:$A$67,1)),""))</f>
        <v/>
      </c>
      <c r="U19" s="30"/>
    </row>
    <row r="20" customFormat="false" ht="30" hidden="false" customHeight="true" outlineLevel="0" collapsed="false">
      <c r="A20" s="30"/>
      <c r="B20" s="30"/>
      <c r="C20" s="30"/>
      <c r="D20" s="30"/>
      <c r="E20" s="30"/>
      <c r="F20" s="30"/>
      <c r="G20" s="30"/>
      <c r="H20" s="30"/>
      <c r="I20" s="15"/>
      <c r="J20" s="30"/>
      <c r="K20" s="30"/>
      <c r="L20" s="30"/>
      <c r="M20" s="30"/>
      <c r="N20" s="28" t="str">
        <f aca="false">IF(G20="","",IFERROR(INDEX('Algorithm Reference'!$C$5:$C$27,MATCH(G20,'Algorithm Reference'!$A$5:$A$27,0)),"Not in reference table"))</f>
        <v/>
      </c>
      <c r="O20" s="28" t="str">
        <f aca="false">IF(G20="","",IFERROR(INDEX('Algorithm Reference'!$D$5:$D$27,MATCH(G20,'Algorithm Reference'!$A$5:$A$27,0)),""))</f>
        <v/>
      </c>
      <c r="P20" s="29" t="str">
        <f aca="false">IF(I20="","",MAX(0,I20-'Planning Assumptions'!$B$5))</f>
        <v/>
      </c>
      <c r="Q20" s="28" t="str">
        <f aca="false">IF(P20="","",IF(P20&lt;=2,"0 to 2 years",IF(P20&lt;=5,"3 to 5 years",IF(P20&lt;=10,"6 to 10 years",IF(P20&lt;=20,"11 to 20 years","Over 20 years or permanent")))))</f>
        <v/>
      </c>
      <c r="R20" s="22" t="str">
        <f aca="false">IF(OR(G20="",I20=""),"",IF(AND(IFERROR(INDEX('Algorithm Reference'!$E$5:$E$27,MATCH(G20,'Algorithm Reference'!$A$5:$A$27,0)),6)&gt;=5,OR(H20="Key exchange",H20="Encryption in transit",H20="Encryption at rest",H20="Multiple purposes"),P20+'Planning Assumptions'!$B$7&gt;'Planning Assumptions'!$B$6-'Planning Assumptions'!$B$5),"EXPOSED","Within tolerance"))</f>
        <v/>
      </c>
      <c r="S20" s="17" t="str">
        <f aca="false">IF(G20="","",IFERROR(INDEX('Algorithm Reference'!$E$5:$E$27,MATCH(G20,'Algorithm Reference'!$A$5:$A$27,0)),6)+IFERROR(INDEX('Algorithm Reference'!$C$33:$C$60,MATCH(Q20,'Algorithm Reference'!$B$33:$B$60,0)),6)+IFERROR(INDEX('Algorithm Reference'!$C$33:$C$60,MATCH(J20,'Algorithm Reference'!$B$33:$B$60,0)),4)+IFERROR(INDEX('Algorithm Reference'!$C$33:$C$60,MATCH(K20,'Algorithm Reference'!$B$33:$B$60,0)),4)+IFERROR(INDEX('Algorithm Reference'!$C$33:$C$60,MATCH(L20,'Algorithm Reference'!$B$33:$B$60,0)),4)+IFERROR(INDEX('Algorithm Reference'!$C$33:$C$60,MATCH(M20,'Algorithm Reference'!$B$33:$B$60,0)),0))</f>
        <v/>
      </c>
      <c r="T20" s="28" t="str">
        <f aca="false">IF(S20="","",IFERROR(INDEX('Algorithm Reference'!$B$64:$B$67,MATCH(S20,'Algorithm Reference'!$A$64:$A$67,1)),""))</f>
        <v/>
      </c>
      <c r="U20" s="30"/>
    </row>
    <row r="21" customFormat="false" ht="30" hidden="false" customHeight="true" outlineLevel="0" collapsed="false">
      <c r="A21" s="30"/>
      <c r="B21" s="30"/>
      <c r="C21" s="30"/>
      <c r="D21" s="30"/>
      <c r="E21" s="30"/>
      <c r="F21" s="30"/>
      <c r="G21" s="30"/>
      <c r="H21" s="30"/>
      <c r="I21" s="15"/>
      <c r="J21" s="30"/>
      <c r="K21" s="30"/>
      <c r="L21" s="30"/>
      <c r="M21" s="30"/>
      <c r="N21" s="28" t="str">
        <f aca="false">IF(G21="","",IFERROR(INDEX('Algorithm Reference'!$C$5:$C$27,MATCH(G21,'Algorithm Reference'!$A$5:$A$27,0)),"Not in reference table"))</f>
        <v/>
      </c>
      <c r="O21" s="28" t="str">
        <f aca="false">IF(G21="","",IFERROR(INDEX('Algorithm Reference'!$D$5:$D$27,MATCH(G21,'Algorithm Reference'!$A$5:$A$27,0)),""))</f>
        <v/>
      </c>
      <c r="P21" s="29" t="str">
        <f aca="false">IF(I21="","",MAX(0,I21-'Planning Assumptions'!$B$5))</f>
        <v/>
      </c>
      <c r="Q21" s="28" t="str">
        <f aca="false">IF(P21="","",IF(P21&lt;=2,"0 to 2 years",IF(P21&lt;=5,"3 to 5 years",IF(P21&lt;=10,"6 to 10 years",IF(P21&lt;=20,"11 to 20 years","Over 20 years or permanent")))))</f>
        <v/>
      </c>
      <c r="R21" s="22" t="str">
        <f aca="false">IF(OR(G21="",I21=""),"",IF(AND(IFERROR(INDEX('Algorithm Reference'!$E$5:$E$27,MATCH(G21,'Algorithm Reference'!$A$5:$A$27,0)),6)&gt;=5,OR(H21="Key exchange",H21="Encryption in transit",H21="Encryption at rest",H21="Multiple purposes"),P21+'Planning Assumptions'!$B$7&gt;'Planning Assumptions'!$B$6-'Planning Assumptions'!$B$5),"EXPOSED","Within tolerance"))</f>
        <v/>
      </c>
      <c r="S21" s="17" t="str">
        <f aca="false">IF(G21="","",IFERROR(INDEX('Algorithm Reference'!$E$5:$E$27,MATCH(G21,'Algorithm Reference'!$A$5:$A$27,0)),6)+IFERROR(INDEX('Algorithm Reference'!$C$33:$C$60,MATCH(Q21,'Algorithm Reference'!$B$33:$B$60,0)),6)+IFERROR(INDEX('Algorithm Reference'!$C$33:$C$60,MATCH(J21,'Algorithm Reference'!$B$33:$B$60,0)),4)+IFERROR(INDEX('Algorithm Reference'!$C$33:$C$60,MATCH(K21,'Algorithm Reference'!$B$33:$B$60,0)),4)+IFERROR(INDEX('Algorithm Reference'!$C$33:$C$60,MATCH(L21,'Algorithm Reference'!$B$33:$B$60,0)),4)+IFERROR(INDEX('Algorithm Reference'!$C$33:$C$60,MATCH(M21,'Algorithm Reference'!$B$33:$B$60,0)),0))</f>
        <v/>
      </c>
      <c r="T21" s="28" t="str">
        <f aca="false">IF(S21="","",IFERROR(INDEX('Algorithm Reference'!$B$64:$B$67,MATCH(S21,'Algorithm Reference'!$A$64:$A$67,1)),""))</f>
        <v/>
      </c>
      <c r="U21" s="30"/>
    </row>
    <row r="22" customFormat="false" ht="30" hidden="false" customHeight="true" outlineLevel="0" collapsed="false">
      <c r="A22" s="30"/>
      <c r="B22" s="30"/>
      <c r="C22" s="30"/>
      <c r="D22" s="30"/>
      <c r="E22" s="30"/>
      <c r="F22" s="30"/>
      <c r="G22" s="30"/>
      <c r="H22" s="30"/>
      <c r="I22" s="15"/>
      <c r="J22" s="30"/>
      <c r="K22" s="30"/>
      <c r="L22" s="30"/>
      <c r="M22" s="30"/>
      <c r="N22" s="28" t="str">
        <f aca="false">IF(G22="","",IFERROR(INDEX('Algorithm Reference'!$C$5:$C$27,MATCH(G22,'Algorithm Reference'!$A$5:$A$27,0)),"Not in reference table"))</f>
        <v/>
      </c>
      <c r="O22" s="28" t="str">
        <f aca="false">IF(G22="","",IFERROR(INDEX('Algorithm Reference'!$D$5:$D$27,MATCH(G22,'Algorithm Reference'!$A$5:$A$27,0)),""))</f>
        <v/>
      </c>
      <c r="P22" s="29" t="str">
        <f aca="false">IF(I22="","",MAX(0,I22-'Planning Assumptions'!$B$5))</f>
        <v/>
      </c>
      <c r="Q22" s="28" t="str">
        <f aca="false">IF(P22="","",IF(P22&lt;=2,"0 to 2 years",IF(P22&lt;=5,"3 to 5 years",IF(P22&lt;=10,"6 to 10 years",IF(P22&lt;=20,"11 to 20 years","Over 20 years or permanent")))))</f>
        <v/>
      </c>
      <c r="R22" s="22" t="str">
        <f aca="false">IF(OR(G22="",I22=""),"",IF(AND(IFERROR(INDEX('Algorithm Reference'!$E$5:$E$27,MATCH(G22,'Algorithm Reference'!$A$5:$A$27,0)),6)&gt;=5,OR(H22="Key exchange",H22="Encryption in transit",H22="Encryption at rest",H22="Multiple purposes"),P22+'Planning Assumptions'!$B$7&gt;'Planning Assumptions'!$B$6-'Planning Assumptions'!$B$5),"EXPOSED","Within tolerance"))</f>
        <v/>
      </c>
      <c r="S22" s="17" t="str">
        <f aca="false">IF(G22="","",IFERROR(INDEX('Algorithm Reference'!$E$5:$E$27,MATCH(G22,'Algorithm Reference'!$A$5:$A$27,0)),6)+IFERROR(INDEX('Algorithm Reference'!$C$33:$C$60,MATCH(Q22,'Algorithm Reference'!$B$33:$B$60,0)),6)+IFERROR(INDEX('Algorithm Reference'!$C$33:$C$60,MATCH(J22,'Algorithm Reference'!$B$33:$B$60,0)),4)+IFERROR(INDEX('Algorithm Reference'!$C$33:$C$60,MATCH(K22,'Algorithm Reference'!$B$33:$B$60,0)),4)+IFERROR(INDEX('Algorithm Reference'!$C$33:$C$60,MATCH(L22,'Algorithm Reference'!$B$33:$B$60,0)),4)+IFERROR(INDEX('Algorithm Reference'!$C$33:$C$60,MATCH(M22,'Algorithm Reference'!$B$33:$B$60,0)),0))</f>
        <v/>
      </c>
      <c r="T22" s="28" t="str">
        <f aca="false">IF(S22="","",IFERROR(INDEX('Algorithm Reference'!$B$64:$B$67,MATCH(S22,'Algorithm Reference'!$A$64:$A$67,1)),""))</f>
        <v/>
      </c>
      <c r="U22" s="30"/>
    </row>
    <row r="23" customFormat="false" ht="30" hidden="false" customHeight="true" outlineLevel="0" collapsed="false">
      <c r="A23" s="30"/>
      <c r="B23" s="30"/>
      <c r="C23" s="30"/>
      <c r="D23" s="30"/>
      <c r="E23" s="30"/>
      <c r="F23" s="30"/>
      <c r="G23" s="30"/>
      <c r="H23" s="30"/>
      <c r="I23" s="15"/>
      <c r="J23" s="30"/>
      <c r="K23" s="30"/>
      <c r="L23" s="30"/>
      <c r="M23" s="30"/>
      <c r="N23" s="28" t="str">
        <f aca="false">IF(G23="","",IFERROR(INDEX('Algorithm Reference'!$C$5:$C$27,MATCH(G23,'Algorithm Reference'!$A$5:$A$27,0)),"Not in reference table"))</f>
        <v/>
      </c>
      <c r="O23" s="28" t="str">
        <f aca="false">IF(G23="","",IFERROR(INDEX('Algorithm Reference'!$D$5:$D$27,MATCH(G23,'Algorithm Reference'!$A$5:$A$27,0)),""))</f>
        <v/>
      </c>
      <c r="P23" s="29" t="str">
        <f aca="false">IF(I23="","",MAX(0,I23-'Planning Assumptions'!$B$5))</f>
        <v/>
      </c>
      <c r="Q23" s="28" t="str">
        <f aca="false">IF(P23="","",IF(P23&lt;=2,"0 to 2 years",IF(P23&lt;=5,"3 to 5 years",IF(P23&lt;=10,"6 to 10 years",IF(P23&lt;=20,"11 to 20 years","Over 20 years or permanent")))))</f>
        <v/>
      </c>
      <c r="R23" s="22" t="str">
        <f aca="false">IF(OR(G23="",I23=""),"",IF(AND(IFERROR(INDEX('Algorithm Reference'!$E$5:$E$27,MATCH(G23,'Algorithm Reference'!$A$5:$A$27,0)),6)&gt;=5,OR(H23="Key exchange",H23="Encryption in transit",H23="Encryption at rest",H23="Multiple purposes"),P23+'Planning Assumptions'!$B$7&gt;'Planning Assumptions'!$B$6-'Planning Assumptions'!$B$5),"EXPOSED","Within tolerance"))</f>
        <v/>
      </c>
      <c r="S23" s="17" t="str">
        <f aca="false">IF(G23="","",IFERROR(INDEX('Algorithm Reference'!$E$5:$E$27,MATCH(G23,'Algorithm Reference'!$A$5:$A$27,0)),6)+IFERROR(INDEX('Algorithm Reference'!$C$33:$C$60,MATCH(Q23,'Algorithm Reference'!$B$33:$B$60,0)),6)+IFERROR(INDEX('Algorithm Reference'!$C$33:$C$60,MATCH(J23,'Algorithm Reference'!$B$33:$B$60,0)),4)+IFERROR(INDEX('Algorithm Reference'!$C$33:$C$60,MATCH(K23,'Algorithm Reference'!$B$33:$B$60,0)),4)+IFERROR(INDEX('Algorithm Reference'!$C$33:$C$60,MATCH(L23,'Algorithm Reference'!$B$33:$B$60,0)),4)+IFERROR(INDEX('Algorithm Reference'!$C$33:$C$60,MATCH(M23,'Algorithm Reference'!$B$33:$B$60,0)),0))</f>
        <v/>
      </c>
      <c r="T23" s="28" t="str">
        <f aca="false">IF(S23="","",IFERROR(INDEX('Algorithm Reference'!$B$64:$B$67,MATCH(S23,'Algorithm Reference'!$A$64:$A$67,1)),""))</f>
        <v/>
      </c>
      <c r="U23" s="30"/>
    </row>
    <row r="24" customFormat="false" ht="30" hidden="false" customHeight="true" outlineLevel="0" collapsed="false">
      <c r="A24" s="30"/>
      <c r="B24" s="30"/>
      <c r="C24" s="30"/>
      <c r="D24" s="30"/>
      <c r="E24" s="30"/>
      <c r="F24" s="30"/>
      <c r="G24" s="30"/>
      <c r="H24" s="30"/>
      <c r="I24" s="15"/>
      <c r="J24" s="30"/>
      <c r="K24" s="30"/>
      <c r="L24" s="30"/>
      <c r="M24" s="30"/>
      <c r="N24" s="28" t="str">
        <f aca="false">IF(G24="","",IFERROR(INDEX('Algorithm Reference'!$C$5:$C$27,MATCH(G24,'Algorithm Reference'!$A$5:$A$27,0)),"Not in reference table"))</f>
        <v/>
      </c>
      <c r="O24" s="28" t="str">
        <f aca="false">IF(G24="","",IFERROR(INDEX('Algorithm Reference'!$D$5:$D$27,MATCH(G24,'Algorithm Reference'!$A$5:$A$27,0)),""))</f>
        <v/>
      </c>
      <c r="P24" s="29" t="str">
        <f aca="false">IF(I24="","",MAX(0,I24-'Planning Assumptions'!$B$5))</f>
        <v/>
      </c>
      <c r="Q24" s="28" t="str">
        <f aca="false">IF(P24="","",IF(P24&lt;=2,"0 to 2 years",IF(P24&lt;=5,"3 to 5 years",IF(P24&lt;=10,"6 to 10 years",IF(P24&lt;=20,"11 to 20 years","Over 20 years or permanent")))))</f>
        <v/>
      </c>
      <c r="R24" s="22" t="str">
        <f aca="false">IF(OR(G24="",I24=""),"",IF(AND(IFERROR(INDEX('Algorithm Reference'!$E$5:$E$27,MATCH(G24,'Algorithm Reference'!$A$5:$A$27,0)),6)&gt;=5,OR(H24="Key exchange",H24="Encryption in transit",H24="Encryption at rest",H24="Multiple purposes"),P24+'Planning Assumptions'!$B$7&gt;'Planning Assumptions'!$B$6-'Planning Assumptions'!$B$5),"EXPOSED","Within tolerance"))</f>
        <v/>
      </c>
      <c r="S24" s="17" t="str">
        <f aca="false">IF(G24="","",IFERROR(INDEX('Algorithm Reference'!$E$5:$E$27,MATCH(G24,'Algorithm Reference'!$A$5:$A$27,0)),6)+IFERROR(INDEX('Algorithm Reference'!$C$33:$C$60,MATCH(Q24,'Algorithm Reference'!$B$33:$B$60,0)),6)+IFERROR(INDEX('Algorithm Reference'!$C$33:$C$60,MATCH(J24,'Algorithm Reference'!$B$33:$B$60,0)),4)+IFERROR(INDEX('Algorithm Reference'!$C$33:$C$60,MATCH(K24,'Algorithm Reference'!$B$33:$B$60,0)),4)+IFERROR(INDEX('Algorithm Reference'!$C$33:$C$60,MATCH(L24,'Algorithm Reference'!$B$33:$B$60,0)),4)+IFERROR(INDEX('Algorithm Reference'!$C$33:$C$60,MATCH(M24,'Algorithm Reference'!$B$33:$B$60,0)),0))</f>
        <v/>
      </c>
      <c r="T24" s="28" t="str">
        <f aca="false">IF(S24="","",IFERROR(INDEX('Algorithm Reference'!$B$64:$B$67,MATCH(S24,'Algorithm Reference'!$A$64:$A$67,1)),""))</f>
        <v/>
      </c>
      <c r="U24" s="30"/>
    </row>
    <row r="25" customFormat="false" ht="30" hidden="false" customHeight="true" outlineLevel="0" collapsed="false">
      <c r="A25" s="30"/>
      <c r="B25" s="30"/>
      <c r="C25" s="30"/>
      <c r="D25" s="30"/>
      <c r="E25" s="30"/>
      <c r="F25" s="30"/>
      <c r="G25" s="30"/>
      <c r="H25" s="30"/>
      <c r="I25" s="15"/>
      <c r="J25" s="30"/>
      <c r="K25" s="30"/>
      <c r="L25" s="30"/>
      <c r="M25" s="30"/>
      <c r="N25" s="28" t="str">
        <f aca="false">IF(G25="","",IFERROR(INDEX('Algorithm Reference'!$C$5:$C$27,MATCH(G25,'Algorithm Reference'!$A$5:$A$27,0)),"Not in reference table"))</f>
        <v/>
      </c>
      <c r="O25" s="28" t="str">
        <f aca="false">IF(G25="","",IFERROR(INDEX('Algorithm Reference'!$D$5:$D$27,MATCH(G25,'Algorithm Reference'!$A$5:$A$27,0)),""))</f>
        <v/>
      </c>
      <c r="P25" s="29" t="str">
        <f aca="false">IF(I25="","",MAX(0,I25-'Planning Assumptions'!$B$5))</f>
        <v/>
      </c>
      <c r="Q25" s="28" t="str">
        <f aca="false">IF(P25="","",IF(P25&lt;=2,"0 to 2 years",IF(P25&lt;=5,"3 to 5 years",IF(P25&lt;=10,"6 to 10 years",IF(P25&lt;=20,"11 to 20 years","Over 20 years or permanent")))))</f>
        <v/>
      </c>
      <c r="R25" s="22" t="str">
        <f aca="false">IF(OR(G25="",I25=""),"",IF(AND(IFERROR(INDEX('Algorithm Reference'!$E$5:$E$27,MATCH(G25,'Algorithm Reference'!$A$5:$A$27,0)),6)&gt;=5,OR(H25="Key exchange",H25="Encryption in transit",H25="Encryption at rest",H25="Multiple purposes"),P25+'Planning Assumptions'!$B$7&gt;'Planning Assumptions'!$B$6-'Planning Assumptions'!$B$5),"EXPOSED","Within tolerance"))</f>
        <v/>
      </c>
      <c r="S25" s="17" t="str">
        <f aca="false">IF(G25="","",IFERROR(INDEX('Algorithm Reference'!$E$5:$E$27,MATCH(G25,'Algorithm Reference'!$A$5:$A$27,0)),6)+IFERROR(INDEX('Algorithm Reference'!$C$33:$C$60,MATCH(Q25,'Algorithm Reference'!$B$33:$B$60,0)),6)+IFERROR(INDEX('Algorithm Reference'!$C$33:$C$60,MATCH(J25,'Algorithm Reference'!$B$33:$B$60,0)),4)+IFERROR(INDEX('Algorithm Reference'!$C$33:$C$60,MATCH(K25,'Algorithm Reference'!$B$33:$B$60,0)),4)+IFERROR(INDEX('Algorithm Reference'!$C$33:$C$60,MATCH(L25,'Algorithm Reference'!$B$33:$B$60,0)),4)+IFERROR(INDEX('Algorithm Reference'!$C$33:$C$60,MATCH(M25,'Algorithm Reference'!$B$33:$B$60,0)),0))</f>
        <v/>
      </c>
      <c r="T25" s="28" t="str">
        <f aca="false">IF(S25="","",IFERROR(INDEX('Algorithm Reference'!$B$64:$B$67,MATCH(S25,'Algorithm Reference'!$A$64:$A$67,1)),""))</f>
        <v/>
      </c>
      <c r="U25" s="30"/>
    </row>
    <row r="26" customFormat="false" ht="30" hidden="false" customHeight="true" outlineLevel="0" collapsed="false">
      <c r="A26" s="30"/>
      <c r="B26" s="30"/>
      <c r="C26" s="30"/>
      <c r="D26" s="30"/>
      <c r="E26" s="30"/>
      <c r="F26" s="30"/>
      <c r="G26" s="30"/>
      <c r="H26" s="30"/>
      <c r="I26" s="15"/>
      <c r="J26" s="30"/>
      <c r="K26" s="30"/>
      <c r="L26" s="30"/>
      <c r="M26" s="30"/>
      <c r="N26" s="28" t="str">
        <f aca="false">IF(G26="","",IFERROR(INDEX('Algorithm Reference'!$C$5:$C$27,MATCH(G26,'Algorithm Reference'!$A$5:$A$27,0)),"Not in reference table"))</f>
        <v/>
      </c>
      <c r="O26" s="28" t="str">
        <f aca="false">IF(G26="","",IFERROR(INDEX('Algorithm Reference'!$D$5:$D$27,MATCH(G26,'Algorithm Reference'!$A$5:$A$27,0)),""))</f>
        <v/>
      </c>
      <c r="P26" s="29" t="str">
        <f aca="false">IF(I26="","",MAX(0,I26-'Planning Assumptions'!$B$5))</f>
        <v/>
      </c>
      <c r="Q26" s="28" t="str">
        <f aca="false">IF(P26="","",IF(P26&lt;=2,"0 to 2 years",IF(P26&lt;=5,"3 to 5 years",IF(P26&lt;=10,"6 to 10 years",IF(P26&lt;=20,"11 to 20 years","Over 20 years or permanent")))))</f>
        <v/>
      </c>
      <c r="R26" s="22" t="str">
        <f aca="false">IF(OR(G26="",I26=""),"",IF(AND(IFERROR(INDEX('Algorithm Reference'!$E$5:$E$27,MATCH(G26,'Algorithm Reference'!$A$5:$A$27,0)),6)&gt;=5,OR(H26="Key exchange",H26="Encryption in transit",H26="Encryption at rest",H26="Multiple purposes"),P26+'Planning Assumptions'!$B$7&gt;'Planning Assumptions'!$B$6-'Planning Assumptions'!$B$5),"EXPOSED","Within tolerance"))</f>
        <v/>
      </c>
      <c r="S26" s="17" t="str">
        <f aca="false">IF(G26="","",IFERROR(INDEX('Algorithm Reference'!$E$5:$E$27,MATCH(G26,'Algorithm Reference'!$A$5:$A$27,0)),6)+IFERROR(INDEX('Algorithm Reference'!$C$33:$C$60,MATCH(Q26,'Algorithm Reference'!$B$33:$B$60,0)),6)+IFERROR(INDEX('Algorithm Reference'!$C$33:$C$60,MATCH(J26,'Algorithm Reference'!$B$33:$B$60,0)),4)+IFERROR(INDEX('Algorithm Reference'!$C$33:$C$60,MATCH(K26,'Algorithm Reference'!$B$33:$B$60,0)),4)+IFERROR(INDEX('Algorithm Reference'!$C$33:$C$60,MATCH(L26,'Algorithm Reference'!$B$33:$B$60,0)),4)+IFERROR(INDEX('Algorithm Reference'!$C$33:$C$60,MATCH(M26,'Algorithm Reference'!$B$33:$B$60,0)),0))</f>
        <v/>
      </c>
      <c r="T26" s="28" t="str">
        <f aca="false">IF(S26="","",IFERROR(INDEX('Algorithm Reference'!$B$64:$B$67,MATCH(S26,'Algorithm Reference'!$A$64:$A$67,1)),""))</f>
        <v/>
      </c>
      <c r="U26" s="30"/>
    </row>
    <row r="27" customFormat="false" ht="30" hidden="false" customHeight="true" outlineLevel="0" collapsed="false">
      <c r="A27" s="30"/>
      <c r="B27" s="30"/>
      <c r="C27" s="30"/>
      <c r="D27" s="30"/>
      <c r="E27" s="30"/>
      <c r="F27" s="30"/>
      <c r="G27" s="30"/>
      <c r="H27" s="30"/>
      <c r="I27" s="15"/>
      <c r="J27" s="30"/>
      <c r="K27" s="30"/>
      <c r="L27" s="30"/>
      <c r="M27" s="30"/>
      <c r="N27" s="28" t="str">
        <f aca="false">IF(G27="","",IFERROR(INDEX('Algorithm Reference'!$C$5:$C$27,MATCH(G27,'Algorithm Reference'!$A$5:$A$27,0)),"Not in reference table"))</f>
        <v/>
      </c>
      <c r="O27" s="28" t="str">
        <f aca="false">IF(G27="","",IFERROR(INDEX('Algorithm Reference'!$D$5:$D$27,MATCH(G27,'Algorithm Reference'!$A$5:$A$27,0)),""))</f>
        <v/>
      </c>
      <c r="P27" s="29" t="str">
        <f aca="false">IF(I27="","",MAX(0,I27-'Planning Assumptions'!$B$5))</f>
        <v/>
      </c>
      <c r="Q27" s="28" t="str">
        <f aca="false">IF(P27="","",IF(P27&lt;=2,"0 to 2 years",IF(P27&lt;=5,"3 to 5 years",IF(P27&lt;=10,"6 to 10 years",IF(P27&lt;=20,"11 to 20 years","Over 20 years or permanent")))))</f>
        <v/>
      </c>
      <c r="R27" s="22" t="str">
        <f aca="false">IF(OR(G27="",I27=""),"",IF(AND(IFERROR(INDEX('Algorithm Reference'!$E$5:$E$27,MATCH(G27,'Algorithm Reference'!$A$5:$A$27,0)),6)&gt;=5,OR(H27="Key exchange",H27="Encryption in transit",H27="Encryption at rest",H27="Multiple purposes"),P27+'Planning Assumptions'!$B$7&gt;'Planning Assumptions'!$B$6-'Planning Assumptions'!$B$5),"EXPOSED","Within tolerance"))</f>
        <v/>
      </c>
      <c r="S27" s="17" t="str">
        <f aca="false">IF(G27="","",IFERROR(INDEX('Algorithm Reference'!$E$5:$E$27,MATCH(G27,'Algorithm Reference'!$A$5:$A$27,0)),6)+IFERROR(INDEX('Algorithm Reference'!$C$33:$C$60,MATCH(Q27,'Algorithm Reference'!$B$33:$B$60,0)),6)+IFERROR(INDEX('Algorithm Reference'!$C$33:$C$60,MATCH(J27,'Algorithm Reference'!$B$33:$B$60,0)),4)+IFERROR(INDEX('Algorithm Reference'!$C$33:$C$60,MATCH(K27,'Algorithm Reference'!$B$33:$B$60,0)),4)+IFERROR(INDEX('Algorithm Reference'!$C$33:$C$60,MATCH(L27,'Algorithm Reference'!$B$33:$B$60,0)),4)+IFERROR(INDEX('Algorithm Reference'!$C$33:$C$60,MATCH(M27,'Algorithm Reference'!$B$33:$B$60,0)),0))</f>
        <v/>
      </c>
      <c r="T27" s="28" t="str">
        <f aca="false">IF(S27="","",IFERROR(INDEX('Algorithm Reference'!$B$64:$B$67,MATCH(S27,'Algorithm Reference'!$A$64:$A$67,1)),""))</f>
        <v/>
      </c>
      <c r="U27" s="30"/>
    </row>
    <row r="28" customFormat="false" ht="30" hidden="false" customHeight="true" outlineLevel="0" collapsed="false">
      <c r="A28" s="30"/>
      <c r="B28" s="30"/>
      <c r="C28" s="30"/>
      <c r="D28" s="30"/>
      <c r="E28" s="30"/>
      <c r="F28" s="30"/>
      <c r="G28" s="30"/>
      <c r="H28" s="30"/>
      <c r="I28" s="15"/>
      <c r="J28" s="30"/>
      <c r="K28" s="30"/>
      <c r="L28" s="30"/>
      <c r="M28" s="30"/>
      <c r="N28" s="28" t="str">
        <f aca="false">IF(G28="","",IFERROR(INDEX('Algorithm Reference'!$C$5:$C$27,MATCH(G28,'Algorithm Reference'!$A$5:$A$27,0)),"Not in reference table"))</f>
        <v/>
      </c>
      <c r="O28" s="28" t="str">
        <f aca="false">IF(G28="","",IFERROR(INDEX('Algorithm Reference'!$D$5:$D$27,MATCH(G28,'Algorithm Reference'!$A$5:$A$27,0)),""))</f>
        <v/>
      </c>
      <c r="P28" s="29" t="str">
        <f aca="false">IF(I28="","",MAX(0,I28-'Planning Assumptions'!$B$5))</f>
        <v/>
      </c>
      <c r="Q28" s="28" t="str">
        <f aca="false">IF(P28="","",IF(P28&lt;=2,"0 to 2 years",IF(P28&lt;=5,"3 to 5 years",IF(P28&lt;=10,"6 to 10 years",IF(P28&lt;=20,"11 to 20 years","Over 20 years or permanent")))))</f>
        <v/>
      </c>
      <c r="R28" s="22" t="str">
        <f aca="false">IF(OR(G28="",I28=""),"",IF(AND(IFERROR(INDEX('Algorithm Reference'!$E$5:$E$27,MATCH(G28,'Algorithm Reference'!$A$5:$A$27,0)),6)&gt;=5,OR(H28="Key exchange",H28="Encryption in transit",H28="Encryption at rest",H28="Multiple purposes"),P28+'Planning Assumptions'!$B$7&gt;'Planning Assumptions'!$B$6-'Planning Assumptions'!$B$5),"EXPOSED","Within tolerance"))</f>
        <v/>
      </c>
      <c r="S28" s="17" t="str">
        <f aca="false">IF(G28="","",IFERROR(INDEX('Algorithm Reference'!$E$5:$E$27,MATCH(G28,'Algorithm Reference'!$A$5:$A$27,0)),6)+IFERROR(INDEX('Algorithm Reference'!$C$33:$C$60,MATCH(Q28,'Algorithm Reference'!$B$33:$B$60,0)),6)+IFERROR(INDEX('Algorithm Reference'!$C$33:$C$60,MATCH(J28,'Algorithm Reference'!$B$33:$B$60,0)),4)+IFERROR(INDEX('Algorithm Reference'!$C$33:$C$60,MATCH(K28,'Algorithm Reference'!$B$33:$B$60,0)),4)+IFERROR(INDEX('Algorithm Reference'!$C$33:$C$60,MATCH(L28,'Algorithm Reference'!$B$33:$B$60,0)),4)+IFERROR(INDEX('Algorithm Reference'!$C$33:$C$60,MATCH(M28,'Algorithm Reference'!$B$33:$B$60,0)),0))</f>
        <v/>
      </c>
      <c r="T28" s="28" t="str">
        <f aca="false">IF(S28="","",IFERROR(INDEX('Algorithm Reference'!$B$64:$B$67,MATCH(S28,'Algorithm Reference'!$A$64:$A$67,1)),""))</f>
        <v/>
      </c>
      <c r="U28" s="30"/>
    </row>
    <row r="29" customFormat="false" ht="30" hidden="false" customHeight="true" outlineLevel="0" collapsed="false">
      <c r="A29" s="30"/>
      <c r="B29" s="30"/>
      <c r="C29" s="30"/>
      <c r="D29" s="30"/>
      <c r="E29" s="30"/>
      <c r="F29" s="30"/>
      <c r="G29" s="30"/>
      <c r="H29" s="30"/>
      <c r="I29" s="15"/>
      <c r="J29" s="30"/>
      <c r="K29" s="30"/>
      <c r="L29" s="30"/>
      <c r="M29" s="30"/>
      <c r="N29" s="28" t="str">
        <f aca="false">IF(G29="","",IFERROR(INDEX('Algorithm Reference'!$C$5:$C$27,MATCH(G29,'Algorithm Reference'!$A$5:$A$27,0)),"Not in reference table"))</f>
        <v/>
      </c>
      <c r="O29" s="28" t="str">
        <f aca="false">IF(G29="","",IFERROR(INDEX('Algorithm Reference'!$D$5:$D$27,MATCH(G29,'Algorithm Reference'!$A$5:$A$27,0)),""))</f>
        <v/>
      </c>
      <c r="P29" s="29" t="str">
        <f aca="false">IF(I29="","",MAX(0,I29-'Planning Assumptions'!$B$5))</f>
        <v/>
      </c>
      <c r="Q29" s="28" t="str">
        <f aca="false">IF(P29="","",IF(P29&lt;=2,"0 to 2 years",IF(P29&lt;=5,"3 to 5 years",IF(P29&lt;=10,"6 to 10 years",IF(P29&lt;=20,"11 to 20 years","Over 20 years or permanent")))))</f>
        <v/>
      </c>
      <c r="R29" s="22" t="str">
        <f aca="false">IF(OR(G29="",I29=""),"",IF(AND(IFERROR(INDEX('Algorithm Reference'!$E$5:$E$27,MATCH(G29,'Algorithm Reference'!$A$5:$A$27,0)),6)&gt;=5,OR(H29="Key exchange",H29="Encryption in transit",H29="Encryption at rest",H29="Multiple purposes"),P29+'Planning Assumptions'!$B$7&gt;'Planning Assumptions'!$B$6-'Planning Assumptions'!$B$5),"EXPOSED","Within tolerance"))</f>
        <v/>
      </c>
      <c r="S29" s="17" t="str">
        <f aca="false">IF(G29="","",IFERROR(INDEX('Algorithm Reference'!$E$5:$E$27,MATCH(G29,'Algorithm Reference'!$A$5:$A$27,0)),6)+IFERROR(INDEX('Algorithm Reference'!$C$33:$C$60,MATCH(Q29,'Algorithm Reference'!$B$33:$B$60,0)),6)+IFERROR(INDEX('Algorithm Reference'!$C$33:$C$60,MATCH(J29,'Algorithm Reference'!$B$33:$B$60,0)),4)+IFERROR(INDEX('Algorithm Reference'!$C$33:$C$60,MATCH(K29,'Algorithm Reference'!$B$33:$B$60,0)),4)+IFERROR(INDEX('Algorithm Reference'!$C$33:$C$60,MATCH(L29,'Algorithm Reference'!$B$33:$B$60,0)),4)+IFERROR(INDEX('Algorithm Reference'!$C$33:$C$60,MATCH(M29,'Algorithm Reference'!$B$33:$B$60,0)),0))</f>
        <v/>
      </c>
      <c r="T29" s="28" t="str">
        <f aca="false">IF(S29="","",IFERROR(INDEX('Algorithm Reference'!$B$64:$B$67,MATCH(S29,'Algorithm Reference'!$A$64:$A$67,1)),""))</f>
        <v/>
      </c>
      <c r="U29" s="30"/>
    </row>
    <row r="30" customFormat="false" ht="30" hidden="false" customHeight="true" outlineLevel="0" collapsed="false">
      <c r="A30" s="30"/>
      <c r="B30" s="30"/>
      <c r="C30" s="30"/>
      <c r="D30" s="30"/>
      <c r="E30" s="30"/>
      <c r="F30" s="30"/>
      <c r="G30" s="30"/>
      <c r="H30" s="30"/>
      <c r="I30" s="15"/>
      <c r="J30" s="30"/>
      <c r="K30" s="30"/>
      <c r="L30" s="30"/>
      <c r="M30" s="30"/>
      <c r="N30" s="28" t="str">
        <f aca="false">IF(G30="","",IFERROR(INDEX('Algorithm Reference'!$C$5:$C$27,MATCH(G30,'Algorithm Reference'!$A$5:$A$27,0)),"Not in reference table"))</f>
        <v/>
      </c>
      <c r="O30" s="28" t="str">
        <f aca="false">IF(G30="","",IFERROR(INDEX('Algorithm Reference'!$D$5:$D$27,MATCH(G30,'Algorithm Reference'!$A$5:$A$27,0)),""))</f>
        <v/>
      </c>
      <c r="P30" s="29" t="str">
        <f aca="false">IF(I30="","",MAX(0,I30-'Planning Assumptions'!$B$5))</f>
        <v/>
      </c>
      <c r="Q30" s="28" t="str">
        <f aca="false">IF(P30="","",IF(P30&lt;=2,"0 to 2 years",IF(P30&lt;=5,"3 to 5 years",IF(P30&lt;=10,"6 to 10 years",IF(P30&lt;=20,"11 to 20 years","Over 20 years or permanent")))))</f>
        <v/>
      </c>
      <c r="R30" s="22" t="str">
        <f aca="false">IF(OR(G30="",I30=""),"",IF(AND(IFERROR(INDEX('Algorithm Reference'!$E$5:$E$27,MATCH(G30,'Algorithm Reference'!$A$5:$A$27,0)),6)&gt;=5,OR(H30="Key exchange",H30="Encryption in transit",H30="Encryption at rest",H30="Multiple purposes"),P30+'Planning Assumptions'!$B$7&gt;'Planning Assumptions'!$B$6-'Planning Assumptions'!$B$5),"EXPOSED","Within tolerance"))</f>
        <v/>
      </c>
      <c r="S30" s="17" t="str">
        <f aca="false">IF(G30="","",IFERROR(INDEX('Algorithm Reference'!$E$5:$E$27,MATCH(G30,'Algorithm Reference'!$A$5:$A$27,0)),6)+IFERROR(INDEX('Algorithm Reference'!$C$33:$C$60,MATCH(Q30,'Algorithm Reference'!$B$33:$B$60,0)),6)+IFERROR(INDEX('Algorithm Reference'!$C$33:$C$60,MATCH(J30,'Algorithm Reference'!$B$33:$B$60,0)),4)+IFERROR(INDEX('Algorithm Reference'!$C$33:$C$60,MATCH(K30,'Algorithm Reference'!$B$33:$B$60,0)),4)+IFERROR(INDEX('Algorithm Reference'!$C$33:$C$60,MATCH(L30,'Algorithm Reference'!$B$33:$B$60,0)),4)+IFERROR(INDEX('Algorithm Reference'!$C$33:$C$60,MATCH(M30,'Algorithm Reference'!$B$33:$B$60,0)),0))</f>
        <v/>
      </c>
      <c r="T30" s="28" t="str">
        <f aca="false">IF(S30="","",IFERROR(INDEX('Algorithm Reference'!$B$64:$B$67,MATCH(S30,'Algorithm Reference'!$A$64:$A$67,1)),""))</f>
        <v/>
      </c>
      <c r="U30" s="30"/>
    </row>
    <row r="31" customFormat="false" ht="30" hidden="false" customHeight="true" outlineLevel="0" collapsed="false">
      <c r="A31" s="30"/>
      <c r="B31" s="30"/>
      <c r="C31" s="30"/>
      <c r="D31" s="30"/>
      <c r="E31" s="30"/>
      <c r="F31" s="30"/>
      <c r="G31" s="30"/>
      <c r="H31" s="30"/>
      <c r="I31" s="15"/>
      <c r="J31" s="30"/>
      <c r="K31" s="30"/>
      <c r="L31" s="30"/>
      <c r="M31" s="30"/>
      <c r="N31" s="28" t="str">
        <f aca="false">IF(G31="","",IFERROR(INDEX('Algorithm Reference'!$C$5:$C$27,MATCH(G31,'Algorithm Reference'!$A$5:$A$27,0)),"Not in reference table"))</f>
        <v/>
      </c>
      <c r="O31" s="28" t="str">
        <f aca="false">IF(G31="","",IFERROR(INDEX('Algorithm Reference'!$D$5:$D$27,MATCH(G31,'Algorithm Reference'!$A$5:$A$27,0)),""))</f>
        <v/>
      </c>
      <c r="P31" s="29" t="str">
        <f aca="false">IF(I31="","",MAX(0,I31-'Planning Assumptions'!$B$5))</f>
        <v/>
      </c>
      <c r="Q31" s="28" t="str">
        <f aca="false">IF(P31="","",IF(P31&lt;=2,"0 to 2 years",IF(P31&lt;=5,"3 to 5 years",IF(P31&lt;=10,"6 to 10 years",IF(P31&lt;=20,"11 to 20 years","Over 20 years or permanent")))))</f>
        <v/>
      </c>
      <c r="R31" s="22" t="str">
        <f aca="false">IF(OR(G31="",I31=""),"",IF(AND(IFERROR(INDEX('Algorithm Reference'!$E$5:$E$27,MATCH(G31,'Algorithm Reference'!$A$5:$A$27,0)),6)&gt;=5,OR(H31="Key exchange",H31="Encryption in transit",H31="Encryption at rest",H31="Multiple purposes"),P31+'Planning Assumptions'!$B$7&gt;'Planning Assumptions'!$B$6-'Planning Assumptions'!$B$5),"EXPOSED","Within tolerance"))</f>
        <v/>
      </c>
      <c r="S31" s="17" t="str">
        <f aca="false">IF(G31="","",IFERROR(INDEX('Algorithm Reference'!$E$5:$E$27,MATCH(G31,'Algorithm Reference'!$A$5:$A$27,0)),6)+IFERROR(INDEX('Algorithm Reference'!$C$33:$C$60,MATCH(Q31,'Algorithm Reference'!$B$33:$B$60,0)),6)+IFERROR(INDEX('Algorithm Reference'!$C$33:$C$60,MATCH(J31,'Algorithm Reference'!$B$33:$B$60,0)),4)+IFERROR(INDEX('Algorithm Reference'!$C$33:$C$60,MATCH(K31,'Algorithm Reference'!$B$33:$B$60,0)),4)+IFERROR(INDEX('Algorithm Reference'!$C$33:$C$60,MATCH(L31,'Algorithm Reference'!$B$33:$B$60,0)),4)+IFERROR(INDEX('Algorithm Reference'!$C$33:$C$60,MATCH(M31,'Algorithm Reference'!$B$33:$B$60,0)),0))</f>
        <v/>
      </c>
      <c r="T31" s="28" t="str">
        <f aca="false">IF(S31="","",IFERROR(INDEX('Algorithm Reference'!$B$64:$B$67,MATCH(S31,'Algorithm Reference'!$A$64:$A$67,1)),""))</f>
        <v/>
      </c>
      <c r="U31" s="30"/>
    </row>
    <row r="32" customFormat="false" ht="30" hidden="false" customHeight="true" outlineLevel="0" collapsed="false">
      <c r="A32" s="30"/>
      <c r="B32" s="30"/>
      <c r="C32" s="30"/>
      <c r="D32" s="30"/>
      <c r="E32" s="30"/>
      <c r="F32" s="30"/>
      <c r="G32" s="30"/>
      <c r="H32" s="30"/>
      <c r="I32" s="15"/>
      <c r="J32" s="30"/>
      <c r="K32" s="30"/>
      <c r="L32" s="30"/>
      <c r="M32" s="30"/>
      <c r="N32" s="28" t="str">
        <f aca="false">IF(G32="","",IFERROR(INDEX('Algorithm Reference'!$C$5:$C$27,MATCH(G32,'Algorithm Reference'!$A$5:$A$27,0)),"Not in reference table"))</f>
        <v/>
      </c>
      <c r="O32" s="28" t="str">
        <f aca="false">IF(G32="","",IFERROR(INDEX('Algorithm Reference'!$D$5:$D$27,MATCH(G32,'Algorithm Reference'!$A$5:$A$27,0)),""))</f>
        <v/>
      </c>
      <c r="P32" s="29" t="str">
        <f aca="false">IF(I32="","",MAX(0,I32-'Planning Assumptions'!$B$5))</f>
        <v/>
      </c>
      <c r="Q32" s="28" t="str">
        <f aca="false">IF(P32="","",IF(P32&lt;=2,"0 to 2 years",IF(P32&lt;=5,"3 to 5 years",IF(P32&lt;=10,"6 to 10 years",IF(P32&lt;=20,"11 to 20 years","Over 20 years or permanent")))))</f>
        <v/>
      </c>
      <c r="R32" s="22" t="str">
        <f aca="false">IF(OR(G32="",I32=""),"",IF(AND(IFERROR(INDEX('Algorithm Reference'!$E$5:$E$27,MATCH(G32,'Algorithm Reference'!$A$5:$A$27,0)),6)&gt;=5,OR(H32="Key exchange",H32="Encryption in transit",H32="Encryption at rest",H32="Multiple purposes"),P32+'Planning Assumptions'!$B$7&gt;'Planning Assumptions'!$B$6-'Planning Assumptions'!$B$5),"EXPOSED","Within tolerance"))</f>
        <v/>
      </c>
      <c r="S32" s="17" t="str">
        <f aca="false">IF(G32="","",IFERROR(INDEX('Algorithm Reference'!$E$5:$E$27,MATCH(G32,'Algorithm Reference'!$A$5:$A$27,0)),6)+IFERROR(INDEX('Algorithm Reference'!$C$33:$C$60,MATCH(Q32,'Algorithm Reference'!$B$33:$B$60,0)),6)+IFERROR(INDEX('Algorithm Reference'!$C$33:$C$60,MATCH(J32,'Algorithm Reference'!$B$33:$B$60,0)),4)+IFERROR(INDEX('Algorithm Reference'!$C$33:$C$60,MATCH(K32,'Algorithm Reference'!$B$33:$B$60,0)),4)+IFERROR(INDEX('Algorithm Reference'!$C$33:$C$60,MATCH(L32,'Algorithm Reference'!$B$33:$B$60,0)),4)+IFERROR(INDEX('Algorithm Reference'!$C$33:$C$60,MATCH(M32,'Algorithm Reference'!$B$33:$B$60,0)),0))</f>
        <v/>
      </c>
      <c r="T32" s="28" t="str">
        <f aca="false">IF(S32="","",IFERROR(INDEX('Algorithm Reference'!$B$64:$B$67,MATCH(S32,'Algorithm Reference'!$A$64:$A$67,1)),""))</f>
        <v/>
      </c>
      <c r="U32" s="30"/>
    </row>
    <row r="33" customFormat="false" ht="30" hidden="false" customHeight="true" outlineLevel="0" collapsed="false">
      <c r="A33" s="30"/>
      <c r="B33" s="30"/>
      <c r="C33" s="30"/>
      <c r="D33" s="30"/>
      <c r="E33" s="30"/>
      <c r="F33" s="30"/>
      <c r="G33" s="30"/>
      <c r="H33" s="30"/>
      <c r="I33" s="15"/>
      <c r="J33" s="30"/>
      <c r="K33" s="30"/>
      <c r="L33" s="30"/>
      <c r="M33" s="30"/>
      <c r="N33" s="28" t="str">
        <f aca="false">IF(G33="","",IFERROR(INDEX('Algorithm Reference'!$C$5:$C$27,MATCH(G33,'Algorithm Reference'!$A$5:$A$27,0)),"Not in reference table"))</f>
        <v/>
      </c>
      <c r="O33" s="28" t="str">
        <f aca="false">IF(G33="","",IFERROR(INDEX('Algorithm Reference'!$D$5:$D$27,MATCH(G33,'Algorithm Reference'!$A$5:$A$27,0)),""))</f>
        <v/>
      </c>
      <c r="P33" s="29" t="str">
        <f aca="false">IF(I33="","",MAX(0,I33-'Planning Assumptions'!$B$5))</f>
        <v/>
      </c>
      <c r="Q33" s="28" t="str">
        <f aca="false">IF(P33="","",IF(P33&lt;=2,"0 to 2 years",IF(P33&lt;=5,"3 to 5 years",IF(P33&lt;=10,"6 to 10 years",IF(P33&lt;=20,"11 to 20 years","Over 20 years or permanent")))))</f>
        <v/>
      </c>
      <c r="R33" s="22" t="str">
        <f aca="false">IF(OR(G33="",I33=""),"",IF(AND(IFERROR(INDEX('Algorithm Reference'!$E$5:$E$27,MATCH(G33,'Algorithm Reference'!$A$5:$A$27,0)),6)&gt;=5,OR(H33="Key exchange",H33="Encryption in transit",H33="Encryption at rest",H33="Multiple purposes"),P33+'Planning Assumptions'!$B$7&gt;'Planning Assumptions'!$B$6-'Planning Assumptions'!$B$5),"EXPOSED","Within tolerance"))</f>
        <v/>
      </c>
      <c r="S33" s="17" t="str">
        <f aca="false">IF(G33="","",IFERROR(INDEX('Algorithm Reference'!$E$5:$E$27,MATCH(G33,'Algorithm Reference'!$A$5:$A$27,0)),6)+IFERROR(INDEX('Algorithm Reference'!$C$33:$C$60,MATCH(Q33,'Algorithm Reference'!$B$33:$B$60,0)),6)+IFERROR(INDEX('Algorithm Reference'!$C$33:$C$60,MATCH(J33,'Algorithm Reference'!$B$33:$B$60,0)),4)+IFERROR(INDEX('Algorithm Reference'!$C$33:$C$60,MATCH(K33,'Algorithm Reference'!$B$33:$B$60,0)),4)+IFERROR(INDEX('Algorithm Reference'!$C$33:$C$60,MATCH(L33,'Algorithm Reference'!$B$33:$B$60,0)),4)+IFERROR(INDEX('Algorithm Reference'!$C$33:$C$60,MATCH(M33,'Algorithm Reference'!$B$33:$B$60,0)),0))</f>
        <v/>
      </c>
      <c r="T33" s="28" t="str">
        <f aca="false">IF(S33="","",IFERROR(INDEX('Algorithm Reference'!$B$64:$B$67,MATCH(S33,'Algorithm Reference'!$A$64:$A$67,1)),""))</f>
        <v/>
      </c>
      <c r="U33" s="30"/>
    </row>
    <row r="34" customFormat="false" ht="30" hidden="false" customHeight="true" outlineLevel="0" collapsed="false">
      <c r="A34" s="30"/>
      <c r="B34" s="30"/>
      <c r="C34" s="30"/>
      <c r="D34" s="30"/>
      <c r="E34" s="30"/>
      <c r="F34" s="30"/>
      <c r="G34" s="30"/>
      <c r="H34" s="30"/>
      <c r="I34" s="15"/>
      <c r="J34" s="30"/>
      <c r="K34" s="30"/>
      <c r="L34" s="30"/>
      <c r="M34" s="30"/>
      <c r="N34" s="28" t="str">
        <f aca="false">IF(G34="","",IFERROR(INDEX('Algorithm Reference'!$C$5:$C$27,MATCH(G34,'Algorithm Reference'!$A$5:$A$27,0)),"Not in reference table"))</f>
        <v/>
      </c>
      <c r="O34" s="28" t="str">
        <f aca="false">IF(G34="","",IFERROR(INDEX('Algorithm Reference'!$D$5:$D$27,MATCH(G34,'Algorithm Reference'!$A$5:$A$27,0)),""))</f>
        <v/>
      </c>
      <c r="P34" s="29" t="str">
        <f aca="false">IF(I34="","",MAX(0,I34-'Planning Assumptions'!$B$5))</f>
        <v/>
      </c>
      <c r="Q34" s="28" t="str">
        <f aca="false">IF(P34="","",IF(P34&lt;=2,"0 to 2 years",IF(P34&lt;=5,"3 to 5 years",IF(P34&lt;=10,"6 to 10 years",IF(P34&lt;=20,"11 to 20 years","Over 20 years or permanent")))))</f>
        <v/>
      </c>
      <c r="R34" s="22" t="str">
        <f aca="false">IF(OR(G34="",I34=""),"",IF(AND(IFERROR(INDEX('Algorithm Reference'!$E$5:$E$27,MATCH(G34,'Algorithm Reference'!$A$5:$A$27,0)),6)&gt;=5,OR(H34="Key exchange",H34="Encryption in transit",H34="Encryption at rest",H34="Multiple purposes"),P34+'Planning Assumptions'!$B$7&gt;'Planning Assumptions'!$B$6-'Planning Assumptions'!$B$5),"EXPOSED","Within tolerance"))</f>
        <v/>
      </c>
      <c r="S34" s="17" t="str">
        <f aca="false">IF(G34="","",IFERROR(INDEX('Algorithm Reference'!$E$5:$E$27,MATCH(G34,'Algorithm Reference'!$A$5:$A$27,0)),6)+IFERROR(INDEX('Algorithm Reference'!$C$33:$C$60,MATCH(Q34,'Algorithm Reference'!$B$33:$B$60,0)),6)+IFERROR(INDEX('Algorithm Reference'!$C$33:$C$60,MATCH(J34,'Algorithm Reference'!$B$33:$B$60,0)),4)+IFERROR(INDEX('Algorithm Reference'!$C$33:$C$60,MATCH(K34,'Algorithm Reference'!$B$33:$B$60,0)),4)+IFERROR(INDEX('Algorithm Reference'!$C$33:$C$60,MATCH(L34,'Algorithm Reference'!$B$33:$B$60,0)),4)+IFERROR(INDEX('Algorithm Reference'!$C$33:$C$60,MATCH(M34,'Algorithm Reference'!$B$33:$B$60,0)),0))</f>
        <v/>
      </c>
      <c r="T34" s="28" t="str">
        <f aca="false">IF(S34="","",IFERROR(INDEX('Algorithm Reference'!$B$64:$B$67,MATCH(S34,'Algorithm Reference'!$A$64:$A$67,1)),""))</f>
        <v/>
      </c>
      <c r="U34" s="30"/>
    </row>
    <row r="35" customFormat="false" ht="30" hidden="false" customHeight="true" outlineLevel="0" collapsed="false">
      <c r="A35" s="30"/>
      <c r="B35" s="30"/>
      <c r="C35" s="30"/>
      <c r="D35" s="30"/>
      <c r="E35" s="30"/>
      <c r="F35" s="30"/>
      <c r="G35" s="30"/>
      <c r="H35" s="30"/>
      <c r="I35" s="15"/>
      <c r="J35" s="30"/>
      <c r="K35" s="30"/>
      <c r="L35" s="30"/>
      <c r="M35" s="30"/>
      <c r="N35" s="28" t="str">
        <f aca="false">IF(G35="","",IFERROR(INDEX('Algorithm Reference'!$C$5:$C$27,MATCH(G35,'Algorithm Reference'!$A$5:$A$27,0)),"Not in reference table"))</f>
        <v/>
      </c>
      <c r="O35" s="28" t="str">
        <f aca="false">IF(G35="","",IFERROR(INDEX('Algorithm Reference'!$D$5:$D$27,MATCH(G35,'Algorithm Reference'!$A$5:$A$27,0)),""))</f>
        <v/>
      </c>
      <c r="P35" s="29" t="str">
        <f aca="false">IF(I35="","",MAX(0,I35-'Planning Assumptions'!$B$5))</f>
        <v/>
      </c>
      <c r="Q35" s="28" t="str">
        <f aca="false">IF(P35="","",IF(P35&lt;=2,"0 to 2 years",IF(P35&lt;=5,"3 to 5 years",IF(P35&lt;=10,"6 to 10 years",IF(P35&lt;=20,"11 to 20 years","Over 20 years or permanent")))))</f>
        <v/>
      </c>
      <c r="R35" s="22" t="str">
        <f aca="false">IF(OR(G35="",I35=""),"",IF(AND(IFERROR(INDEX('Algorithm Reference'!$E$5:$E$27,MATCH(G35,'Algorithm Reference'!$A$5:$A$27,0)),6)&gt;=5,OR(H35="Key exchange",H35="Encryption in transit",H35="Encryption at rest",H35="Multiple purposes"),P35+'Planning Assumptions'!$B$7&gt;'Planning Assumptions'!$B$6-'Planning Assumptions'!$B$5),"EXPOSED","Within tolerance"))</f>
        <v/>
      </c>
      <c r="S35" s="17" t="str">
        <f aca="false">IF(G35="","",IFERROR(INDEX('Algorithm Reference'!$E$5:$E$27,MATCH(G35,'Algorithm Reference'!$A$5:$A$27,0)),6)+IFERROR(INDEX('Algorithm Reference'!$C$33:$C$60,MATCH(Q35,'Algorithm Reference'!$B$33:$B$60,0)),6)+IFERROR(INDEX('Algorithm Reference'!$C$33:$C$60,MATCH(J35,'Algorithm Reference'!$B$33:$B$60,0)),4)+IFERROR(INDEX('Algorithm Reference'!$C$33:$C$60,MATCH(K35,'Algorithm Reference'!$B$33:$B$60,0)),4)+IFERROR(INDEX('Algorithm Reference'!$C$33:$C$60,MATCH(L35,'Algorithm Reference'!$B$33:$B$60,0)),4)+IFERROR(INDEX('Algorithm Reference'!$C$33:$C$60,MATCH(M35,'Algorithm Reference'!$B$33:$B$60,0)),0))</f>
        <v/>
      </c>
      <c r="T35" s="28" t="str">
        <f aca="false">IF(S35="","",IFERROR(INDEX('Algorithm Reference'!$B$64:$B$67,MATCH(S35,'Algorithm Reference'!$A$64:$A$67,1)),""))</f>
        <v/>
      </c>
      <c r="U35" s="30"/>
    </row>
    <row r="36" customFormat="false" ht="30" hidden="false" customHeight="true" outlineLevel="0" collapsed="false">
      <c r="A36" s="30"/>
      <c r="B36" s="30"/>
      <c r="C36" s="30"/>
      <c r="D36" s="30"/>
      <c r="E36" s="30"/>
      <c r="F36" s="30"/>
      <c r="G36" s="30"/>
      <c r="H36" s="30"/>
      <c r="I36" s="15"/>
      <c r="J36" s="30"/>
      <c r="K36" s="30"/>
      <c r="L36" s="30"/>
      <c r="M36" s="30"/>
      <c r="N36" s="28" t="str">
        <f aca="false">IF(G36="","",IFERROR(INDEX('Algorithm Reference'!$C$5:$C$27,MATCH(G36,'Algorithm Reference'!$A$5:$A$27,0)),"Not in reference table"))</f>
        <v/>
      </c>
      <c r="O36" s="28" t="str">
        <f aca="false">IF(G36="","",IFERROR(INDEX('Algorithm Reference'!$D$5:$D$27,MATCH(G36,'Algorithm Reference'!$A$5:$A$27,0)),""))</f>
        <v/>
      </c>
      <c r="P36" s="29" t="str">
        <f aca="false">IF(I36="","",MAX(0,I36-'Planning Assumptions'!$B$5))</f>
        <v/>
      </c>
      <c r="Q36" s="28" t="str">
        <f aca="false">IF(P36="","",IF(P36&lt;=2,"0 to 2 years",IF(P36&lt;=5,"3 to 5 years",IF(P36&lt;=10,"6 to 10 years",IF(P36&lt;=20,"11 to 20 years","Over 20 years or permanent")))))</f>
        <v/>
      </c>
      <c r="R36" s="22" t="str">
        <f aca="false">IF(OR(G36="",I36=""),"",IF(AND(IFERROR(INDEX('Algorithm Reference'!$E$5:$E$27,MATCH(G36,'Algorithm Reference'!$A$5:$A$27,0)),6)&gt;=5,OR(H36="Key exchange",H36="Encryption in transit",H36="Encryption at rest",H36="Multiple purposes"),P36+'Planning Assumptions'!$B$7&gt;'Planning Assumptions'!$B$6-'Planning Assumptions'!$B$5),"EXPOSED","Within tolerance"))</f>
        <v/>
      </c>
      <c r="S36" s="17" t="str">
        <f aca="false">IF(G36="","",IFERROR(INDEX('Algorithm Reference'!$E$5:$E$27,MATCH(G36,'Algorithm Reference'!$A$5:$A$27,0)),6)+IFERROR(INDEX('Algorithm Reference'!$C$33:$C$60,MATCH(Q36,'Algorithm Reference'!$B$33:$B$60,0)),6)+IFERROR(INDEX('Algorithm Reference'!$C$33:$C$60,MATCH(J36,'Algorithm Reference'!$B$33:$B$60,0)),4)+IFERROR(INDEX('Algorithm Reference'!$C$33:$C$60,MATCH(K36,'Algorithm Reference'!$B$33:$B$60,0)),4)+IFERROR(INDEX('Algorithm Reference'!$C$33:$C$60,MATCH(L36,'Algorithm Reference'!$B$33:$B$60,0)),4)+IFERROR(INDEX('Algorithm Reference'!$C$33:$C$60,MATCH(M36,'Algorithm Reference'!$B$33:$B$60,0)),0))</f>
        <v/>
      </c>
      <c r="T36" s="28" t="str">
        <f aca="false">IF(S36="","",IFERROR(INDEX('Algorithm Reference'!$B$64:$B$67,MATCH(S36,'Algorithm Reference'!$A$64:$A$67,1)),""))</f>
        <v/>
      </c>
      <c r="U36" s="30"/>
    </row>
    <row r="37" customFormat="false" ht="30" hidden="false" customHeight="true" outlineLevel="0" collapsed="false">
      <c r="A37" s="30"/>
      <c r="B37" s="30"/>
      <c r="C37" s="30"/>
      <c r="D37" s="30"/>
      <c r="E37" s="30"/>
      <c r="F37" s="30"/>
      <c r="G37" s="30"/>
      <c r="H37" s="30"/>
      <c r="I37" s="15"/>
      <c r="J37" s="30"/>
      <c r="K37" s="30"/>
      <c r="L37" s="30"/>
      <c r="M37" s="30"/>
      <c r="N37" s="28" t="str">
        <f aca="false">IF(G37="","",IFERROR(INDEX('Algorithm Reference'!$C$5:$C$27,MATCH(G37,'Algorithm Reference'!$A$5:$A$27,0)),"Not in reference table"))</f>
        <v/>
      </c>
      <c r="O37" s="28" t="str">
        <f aca="false">IF(G37="","",IFERROR(INDEX('Algorithm Reference'!$D$5:$D$27,MATCH(G37,'Algorithm Reference'!$A$5:$A$27,0)),""))</f>
        <v/>
      </c>
      <c r="P37" s="29" t="str">
        <f aca="false">IF(I37="","",MAX(0,I37-'Planning Assumptions'!$B$5))</f>
        <v/>
      </c>
      <c r="Q37" s="28" t="str">
        <f aca="false">IF(P37="","",IF(P37&lt;=2,"0 to 2 years",IF(P37&lt;=5,"3 to 5 years",IF(P37&lt;=10,"6 to 10 years",IF(P37&lt;=20,"11 to 20 years","Over 20 years or permanent")))))</f>
        <v/>
      </c>
      <c r="R37" s="22" t="str">
        <f aca="false">IF(OR(G37="",I37=""),"",IF(AND(IFERROR(INDEX('Algorithm Reference'!$E$5:$E$27,MATCH(G37,'Algorithm Reference'!$A$5:$A$27,0)),6)&gt;=5,OR(H37="Key exchange",H37="Encryption in transit",H37="Encryption at rest",H37="Multiple purposes"),P37+'Planning Assumptions'!$B$7&gt;'Planning Assumptions'!$B$6-'Planning Assumptions'!$B$5),"EXPOSED","Within tolerance"))</f>
        <v/>
      </c>
      <c r="S37" s="17" t="str">
        <f aca="false">IF(G37="","",IFERROR(INDEX('Algorithm Reference'!$E$5:$E$27,MATCH(G37,'Algorithm Reference'!$A$5:$A$27,0)),6)+IFERROR(INDEX('Algorithm Reference'!$C$33:$C$60,MATCH(Q37,'Algorithm Reference'!$B$33:$B$60,0)),6)+IFERROR(INDEX('Algorithm Reference'!$C$33:$C$60,MATCH(J37,'Algorithm Reference'!$B$33:$B$60,0)),4)+IFERROR(INDEX('Algorithm Reference'!$C$33:$C$60,MATCH(K37,'Algorithm Reference'!$B$33:$B$60,0)),4)+IFERROR(INDEX('Algorithm Reference'!$C$33:$C$60,MATCH(L37,'Algorithm Reference'!$B$33:$B$60,0)),4)+IFERROR(INDEX('Algorithm Reference'!$C$33:$C$60,MATCH(M37,'Algorithm Reference'!$B$33:$B$60,0)),0))</f>
        <v/>
      </c>
      <c r="T37" s="28" t="str">
        <f aca="false">IF(S37="","",IFERROR(INDEX('Algorithm Reference'!$B$64:$B$67,MATCH(S37,'Algorithm Reference'!$A$64:$A$67,1)),""))</f>
        <v/>
      </c>
      <c r="U37" s="30"/>
    </row>
    <row r="38" customFormat="false" ht="30" hidden="false" customHeight="true" outlineLevel="0" collapsed="false">
      <c r="A38" s="30"/>
      <c r="B38" s="30"/>
      <c r="C38" s="30"/>
      <c r="D38" s="30"/>
      <c r="E38" s="30"/>
      <c r="F38" s="30"/>
      <c r="G38" s="30"/>
      <c r="H38" s="30"/>
      <c r="I38" s="15"/>
      <c r="J38" s="30"/>
      <c r="K38" s="30"/>
      <c r="L38" s="30"/>
      <c r="M38" s="30"/>
      <c r="N38" s="28" t="str">
        <f aca="false">IF(G38="","",IFERROR(INDEX('Algorithm Reference'!$C$5:$C$27,MATCH(G38,'Algorithm Reference'!$A$5:$A$27,0)),"Not in reference table"))</f>
        <v/>
      </c>
      <c r="O38" s="28" t="str">
        <f aca="false">IF(G38="","",IFERROR(INDEX('Algorithm Reference'!$D$5:$D$27,MATCH(G38,'Algorithm Reference'!$A$5:$A$27,0)),""))</f>
        <v/>
      </c>
      <c r="P38" s="29" t="str">
        <f aca="false">IF(I38="","",MAX(0,I38-'Planning Assumptions'!$B$5))</f>
        <v/>
      </c>
      <c r="Q38" s="28" t="str">
        <f aca="false">IF(P38="","",IF(P38&lt;=2,"0 to 2 years",IF(P38&lt;=5,"3 to 5 years",IF(P38&lt;=10,"6 to 10 years",IF(P38&lt;=20,"11 to 20 years","Over 20 years or permanent")))))</f>
        <v/>
      </c>
      <c r="R38" s="22" t="str">
        <f aca="false">IF(OR(G38="",I38=""),"",IF(AND(IFERROR(INDEX('Algorithm Reference'!$E$5:$E$27,MATCH(G38,'Algorithm Reference'!$A$5:$A$27,0)),6)&gt;=5,OR(H38="Key exchange",H38="Encryption in transit",H38="Encryption at rest",H38="Multiple purposes"),P38+'Planning Assumptions'!$B$7&gt;'Planning Assumptions'!$B$6-'Planning Assumptions'!$B$5),"EXPOSED","Within tolerance"))</f>
        <v/>
      </c>
      <c r="S38" s="17" t="str">
        <f aca="false">IF(G38="","",IFERROR(INDEX('Algorithm Reference'!$E$5:$E$27,MATCH(G38,'Algorithm Reference'!$A$5:$A$27,0)),6)+IFERROR(INDEX('Algorithm Reference'!$C$33:$C$60,MATCH(Q38,'Algorithm Reference'!$B$33:$B$60,0)),6)+IFERROR(INDEX('Algorithm Reference'!$C$33:$C$60,MATCH(J38,'Algorithm Reference'!$B$33:$B$60,0)),4)+IFERROR(INDEX('Algorithm Reference'!$C$33:$C$60,MATCH(K38,'Algorithm Reference'!$B$33:$B$60,0)),4)+IFERROR(INDEX('Algorithm Reference'!$C$33:$C$60,MATCH(L38,'Algorithm Reference'!$B$33:$B$60,0)),4)+IFERROR(INDEX('Algorithm Reference'!$C$33:$C$60,MATCH(M38,'Algorithm Reference'!$B$33:$B$60,0)),0))</f>
        <v/>
      </c>
      <c r="T38" s="28" t="str">
        <f aca="false">IF(S38="","",IFERROR(INDEX('Algorithm Reference'!$B$64:$B$67,MATCH(S38,'Algorithm Reference'!$A$64:$A$67,1)),""))</f>
        <v/>
      </c>
      <c r="U38" s="30"/>
    </row>
    <row r="39" customFormat="false" ht="30" hidden="false" customHeight="true" outlineLevel="0" collapsed="false">
      <c r="A39" s="30"/>
      <c r="B39" s="30"/>
      <c r="C39" s="30"/>
      <c r="D39" s="30"/>
      <c r="E39" s="30"/>
      <c r="F39" s="30"/>
      <c r="G39" s="30"/>
      <c r="H39" s="30"/>
      <c r="I39" s="15"/>
      <c r="J39" s="30"/>
      <c r="K39" s="30"/>
      <c r="L39" s="30"/>
      <c r="M39" s="30"/>
      <c r="N39" s="28" t="str">
        <f aca="false">IF(G39="","",IFERROR(INDEX('Algorithm Reference'!$C$5:$C$27,MATCH(G39,'Algorithm Reference'!$A$5:$A$27,0)),"Not in reference table"))</f>
        <v/>
      </c>
      <c r="O39" s="28" t="str">
        <f aca="false">IF(G39="","",IFERROR(INDEX('Algorithm Reference'!$D$5:$D$27,MATCH(G39,'Algorithm Reference'!$A$5:$A$27,0)),""))</f>
        <v/>
      </c>
      <c r="P39" s="29" t="str">
        <f aca="false">IF(I39="","",MAX(0,I39-'Planning Assumptions'!$B$5))</f>
        <v/>
      </c>
      <c r="Q39" s="28" t="str">
        <f aca="false">IF(P39="","",IF(P39&lt;=2,"0 to 2 years",IF(P39&lt;=5,"3 to 5 years",IF(P39&lt;=10,"6 to 10 years",IF(P39&lt;=20,"11 to 20 years","Over 20 years or permanent")))))</f>
        <v/>
      </c>
      <c r="R39" s="22" t="str">
        <f aca="false">IF(OR(G39="",I39=""),"",IF(AND(IFERROR(INDEX('Algorithm Reference'!$E$5:$E$27,MATCH(G39,'Algorithm Reference'!$A$5:$A$27,0)),6)&gt;=5,OR(H39="Key exchange",H39="Encryption in transit",H39="Encryption at rest",H39="Multiple purposes"),P39+'Planning Assumptions'!$B$7&gt;'Planning Assumptions'!$B$6-'Planning Assumptions'!$B$5),"EXPOSED","Within tolerance"))</f>
        <v/>
      </c>
      <c r="S39" s="17" t="str">
        <f aca="false">IF(G39="","",IFERROR(INDEX('Algorithm Reference'!$E$5:$E$27,MATCH(G39,'Algorithm Reference'!$A$5:$A$27,0)),6)+IFERROR(INDEX('Algorithm Reference'!$C$33:$C$60,MATCH(Q39,'Algorithm Reference'!$B$33:$B$60,0)),6)+IFERROR(INDEX('Algorithm Reference'!$C$33:$C$60,MATCH(J39,'Algorithm Reference'!$B$33:$B$60,0)),4)+IFERROR(INDEX('Algorithm Reference'!$C$33:$C$60,MATCH(K39,'Algorithm Reference'!$B$33:$B$60,0)),4)+IFERROR(INDEX('Algorithm Reference'!$C$33:$C$60,MATCH(L39,'Algorithm Reference'!$B$33:$B$60,0)),4)+IFERROR(INDEX('Algorithm Reference'!$C$33:$C$60,MATCH(M39,'Algorithm Reference'!$B$33:$B$60,0)),0))</f>
        <v/>
      </c>
      <c r="T39" s="28" t="str">
        <f aca="false">IF(S39="","",IFERROR(INDEX('Algorithm Reference'!$B$64:$B$67,MATCH(S39,'Algorithm Reference'!$A$64:$A$67,1)),""))</f>
        <v/>
      </c>
      <c r="U39" s="30"/>
    </row>
    <row r="40" customFormat="false" ht="30" hidden="false" customHeight="true" outlineLevel="0" collapsed="false">
      <c r="A40" s="30"/>
      <c r="B40" s="30"/>
      <c r="C40" s="30"/>
      <c r="D40" s="30"/>
      <c r="E40" s="30"/>
      <c r="F40" s="30"/>
      <c r="G40" s="30"/>
      <c r="H40" s="30"/>
      <c r="I40" s="15"/>
      <c r="J40" s="30"/>
      <c r="K40" s="30"/>
      <c r="L40" s="30"/>
      <c r="M40" s="30"/>
      <c r="N40" s="28" t="str">
        <f aca="false">IF(G40="","",IFERROR(INDEX('Algorithm Reference'!$C$5:$C$27,MATCH(G40,'Algorithm Reference'!$A$5:$A$27,0)),"Not in reference table"))</f>
        <v/>
      </c>
      <c r="O40" s="28" t="str">
        <f aca="false">IF(G40="","",IFERROR(INDEX('Algorithm Reference'!$D$5:$D$27,MATCH(G40,'Algorithm Reference'!$A$5:$A$27,0)),""))</f>
        <v/>
      </c>
      <c r="P40" s="29" t="str">
        <f aca="false">IF(I40="","",MAX(0,I40-'Planning Assumptions'!$B$5))</f>
        <v/>
      </c>
      <c r="Q40" s="28" t="str">
        <f aca="false">IF(P40="","",IF(P40&lt;=2,"0 to 2 years",IF(P40&lt;=5,"3 to 5 years",IF(P40&lt;=10,"6 to 10 years",IF(P40&lt;=20,"11 to 20 years","Over 20 years or permanent")))))</f>
        <v/>
      </c>
      <c r="R40" s="22" t="str">
        <f aca="false">IF(OR(G40="",I40=""),"",IF(AND(IFERROR(INDEX('Algorithm Reference'!$E$5:$E$27,MATCH(G40,'Algorithm Reference'!$A$5:$A$27,0)),6)&gt;=5,OR(H40="Key exchange",H40="Encryption in transit",H40="Encryption at rest",H40="Multiple purposes"),P40+'Planning Assumptions'!$B$7&gt;'Planning Assumptions'!$B$6-'Planning Assumptions'!$B$5),"EXPOSED","Within tolerance"))</f>
        <v/>
      </c>
      <c r="S40" s="17" t="str">
        <f aca="false">IF(G40="","",IFERROR(INDEX('Algorithm Reference'!$E$5:$E$27,MATCH(G40,'Algorithm Reference'!$A$5:$A$27,0)),6)+IFERROR(INDEX('Algorithm Reference'!$C$33:$C$60,MATCH(Q40,'Algorithm Reference'!$B$33:$B$60,0)),6)+IFERROR(INDEX('Algorithm Reference'!$C$33:$C$60,MATCH(J40,'Algorithm Reference'!$B$33:$B$60,0)),4)+IFERROR(INDEX('Algorithm Reference'!$C$33:$C$60,MATCH(K40,'Algorithm Reference'!$B$33:$B$60,0)),4)+IFERROR(INDEX('Algorithm Reference'!$C$33:$C$60,MATCH(L40,'Algorithm Reference'!$B$33:$B$60,0)),4)+IFERROR(INDEX('Algorithm Reference'!$C$33:$C$60,MATCH(M40,'Algorithm Reference'!$B$33:$B$60,0)),0))</f>
        <v/>
      </c>
      <c r="T40" s="28" t="str">
        <f aca="false">IF(S40="","",IFERROR(INDEX('Algorithm Reference'!$B$64:$B$67,MATCH(S40,'Algorithm Reference'!$A$64:$A$67,1)),""))</f>
        <v/>
      </c>
      <c r="U40" s="30"/>
    </row>
    <row r="41" customFormat="false" ht="30" hidden="false" customHeight="true" outlineLevel="0" collapsed="false">
      <c r="A41" s="30"/>
      <c r="B41" s="30"/>
      <c r="C41" s="30"/>
      <c r="D41" s="30"/>
      <c r="E41" s="30"/>
      <c r="F41" s="30"/>
      <c r="G41" s="30"/>
      <c r="H41" s="30"/>
      <c r="I41" s="15"/>
      <c r="J41" s="30"/>
      <c r="K41" s="30"/>
      <c r="L41" s="30"/>
      <c r="M41" s="30"/>
      <c r="N41" s="28" t="str">
        <f aca="false">IF(G41="","",IFERROR(INDEX('Algorithm Reference'!$C$5:$C$27,MATCH(G41,'Algorithm Reference'!$A$5:$A$27,0)),"Not in reference table"))</f>
        <v/>
      </c>
      <c r="O41" s="28" t="str">
        <f aca="false">IF(G41="","",IFERROR(INDEX('Algorithm Reference'!$D$5:$D$27,MATCH(G41,'Algorithm Reference'!$A$5:$A$27,0)),""))</f>
        <v/>
      </c>
      <c r="P41" s="29" t="str">
        <f aca="false">IF(I41="","",MAX(0,I41-'Planning Assumptions'!$B$5))</f>
        <v/>
      </c>
      <c r="Q41" s="28" t="str">
        <f aca="false">IF(P41="","",IF(P41&lt;=2,"0 to 2 years",IF(P41&lt;=5,"3 to 5 years",IF(P41&lt;=10,"6 to 10 years",IF(P41&lt;=20,"11 to 20 years","Over 20 years or permanent")))))</f>
        <v/>
      </c>
      <c r="R41" s="22" t="str">
        <f aca="false">IF(OR(G41="",I41=""),"",IF(AND(IFERROR(INDEX('Algorithm Reference'!$E$5:$E$27,MATCH(G41,'Algorithm Reference'!$A$5:$A$27,0)),6)&gt;=5,OR(H41="Key exchange",H41="Encryption in transit",H41="Encryption at rest",H41="Multiple purposes"),P41+'Planning Assumptions'!$B$7&gt;'Planning Assumptions'!$B$6-'Planning Assumptions'!$B$5),"EXPOSED","Within tolerance"))</f>
        <v/>
      </c>
      <c r="S41" s="17" t="str">
        <f aca="false">IF(G41="","",IFERROR(INDEX('Algorithm Reference'!$E$5:$E$27,MATCH(G41,'Algorithm Reference'!$A$5:$A$27,0)),6)+IFERROR(INDEX('Algorithm Reference'!$C$33:$C$60,MATCH(Q41,'Algorithm Reference'!$B$33:$B$60,0)),6)+IFERROR(INDEX('Algorithm Reference'!$C$33:$C$60,MATCH(J41,'Algorithm Reference'!$B$33:$B$60,0)),4)+IFERROR(INDEX('Algorithm Reference'!$C$33:$C$60,MATCH(K41,'Algorithm Reference'!$B$33:$B$60,0)),4)+IFERROR(INDEX('Algorithm Reference'!$C$33:$C$60,MATCH(L41,'Algorithm Reference'!$B$33:$B$60,0)),4)+IFERROR(INDEX('Algorithm Reference'!$C$33:$C$60,MATCH(M41,'Algorithm Reference'!$B$33:$B$60,0)),0))</f>
        <v/>
      </c>
      <c r="T41" s="28" t="str">
        <f aca="false">IF(S41="","",IFERROR(INDEX('Algorithm Reference'!$B$64:$B$67,MATCH(S41,'Algorithm Reference'!$A$64:$A$67,1)),""))</f>
        <v/>
      </c>
      <c r="U41" s="30"/>
    </row>
    <row r="42" customFormat="false" ht="30" hidden="false" customHeight="true" outlineLevel="0" collapsed="false">
      <c r="A42" s="30"/>
      <c r="B42" s="30"/>
      <c r="C42" s="30"/>
      <c r="D42" s="30"/>
      <c r="E42" s="30"/>
      <c r="F42" s="30"/>
      <c r="G42" s="30"/>
      <c r="H42" s="30"/>
      <c r="I42" s="15"/>
      <c r="J42" s="30"/>
      <c r="K42" s="30"/>
      <c r="L42" s="30"/>
      <c r="M42" s="30"/>
      <c r="N42" s="28" t="str">
        <f aca="false">IF(G42="","",IFERROR(INDEX('Algorithm Reference'!$C$5:$C$27,MATCH(G42,'Algorithm Reference'!$A$5:$A$27,0)),"Not in reference table"))</f>
        <v/>
      </c>
      <c r="O42" s="28" t="str">
        <f aca="false">IF(G42="","",IFERROR(INDEX('Algorithm Reference'!$D$5:$D$27,MATCH(G42,'Algorithm Reference'!$A$5:$A$27,0)),""))</f>
        <v/>
      </c>
      <c r="P42" s="29" t="str">
        <f aca="false">IF(I42="","",MAX(0,I42-'Planning Assumptions'!$B$5))</f>
        <v/>
      </c>
      <c r="Q42" s="28" t="str">
        <f aca="false">IF(P42="","",IF(P42&lt;=2,"0 to 2 years",IF(P42&lt;=5,"3 to 5 years",IF(P42&lt;=10,"6 to 10 years",IF(P42&lt;=20,"11 to 20 years","Over 20 years or permanent")))))</f>
        <v/>
      </c>
      <c r="R42" s="22" t="str">
        <f aca="false">IF(OR(G42="",I42=""),"",IF(AND(IFERROR(INDEX('Algorithm Reference'!$E$5:$E$27,MATCH(G42,'Algorithm Reference'!$A$5:$A$27,0)),6)&gt;=5,OR(H42="Key exchange",H42="Encryption in transit",H42="Encryption at rest",H42="Multiple purposes"),P42+'Planning Assumptions'!$B$7&gt;'Planning Assumptions'!$B$6-'Planning Assumptions'!$B$5),"EXPOSED","Within tolerance"))</f>
        <v/>
      </c>
      <c r="S42" s="17" t="str">
        <f aca="false">IF(G42="","",IFERROR(INDEX('Algorithm Reference'!$E$5:$E$27,MATCH(G42,'Algorithm Reference'!$A$5:$A$27,0)),6)+IFERROR(INDEX('Algorithm Reference'!$C$33:$C$60,MATCH(Q42,'Algorithm Reference'!$B$33:$B$60,0)),6)+IFERROR(INDEX('Algorithm Reference'!$C$33:$C$60,MATCH(J42,'Algorithm Reference'!$B$33:$B$60,0)),4)+IFERROR(INDEX('Algorithm Reference'!$C$33:$C$60,MATCH(K42,'Algorithm Reference'!$B$33:$B$60,0)),4)+IFERROR(INDEX('Algorithm Reference'!$C$33:$C$60,MATCH(L42,'Algorithm Reference'!$B$33:$B$60,0)),4)+IFERROR(INDEX('Algorithm Reference'!$C$33:$C$60,MATCH(M42,'Algorithm Reference'!$B$33:$B$60,0)),0))</f>
        <v/>
      </c>
      <c r="T42" s="28" t="str">
        <f aca="false">IF(S42="","",IFERROR(INDEX('Algorithm Reference'!$B$64:$B$67,MATCH(S42,'Algorithm Reference'!$A$64:$A$67,1)),""))</f>
        <v/>
      </c>
      <c r="U42" s="30"/>
    </row>
    <row r="43" customFormat="false" ht="30" hidden="false" customHeight="true" outlineLevel="0" collapsed="false">
      <c r="A43" s="30"/>
      <c r="B43" s="30"/>
      <c r="C43" s="30"/>
      <c r="D43" s="30"/>
      <c r="E43" s="30"/>
      <c r="F43" s="30"/>
      <c r="G43" s="30"/>
      <c r="H43" s="30"/>
      <c r="I43" s="15"/>
      <c r="J43" s="30"/>
      <c r="K43" s="30"/>
      <c r="L43" s="30"/>
      <c r="M43" s="30"/>
      <c r="N43" s="28" t="str">
        <f aca="false">IF(G43="","",IFERROR(INDEX('Algorithm Reference'!$C$5:$C$27,MATCH(G43,'Algorithm Reference'!$A$5:$A$27,0)),"Not in reference table"))</f>
        <v/>
      </c>
      <c r="O43" s="28" t="str">
        <f aca="false">IF(G43="","",IFERROR(INDEX('Algorithm Reference'!$D$5:$D$27,MATCH(G43,'Algorithm Reference'!$A$5:$A$27,0)),""))</f>
        <v/>
      </c>
      <c r="P43" s="29" t="str">
        <f aca="false">IF(I43="","",MAX(0,I43-'Planning Assumptions'!$B$5))</f>
        <v/>
      </c>
      <c r="Q43" s="28" t="str">
        <f aca="false">IF(P43="","",IF(P43&lt;=2,"0 to 2 years",IF(P43&lt;=5,"3 to 5 years",IF(P43&lt;=10,"6 to 10 years",IF(P43&lt;=20,"11 to 20 years","Over 20 years or permanent")))))</f>
        <v/>
      </c>
      <c r="R43" s="22" t="str">
        <f aca="false">IF(OR(G43="",I43=""),"",IF(AND(IFERROR(INDEX('Algorithm Reference'!$E$5:$E$27,MATCH(G43,'Algorithm Reference'!$A$5:$A$27,0)),6)&gt;=5,OR(H43="Key exchange",H43="Encryption in transit",H43="Encryption at rest",H43="Multiple purposes"),P43+'Planning Assumptions'!$B$7&gt;'Planning Assumptions'!$B$6-'Planning Assumptions'!$B$5),"EXPOSED","Within tolerance"))</f>
        <v/>
      </c>
      <c r="S43" s="17" t="str">
        <f aca="false">IF(G43="","",IFERROR(INDEX('Algorithm Reference'!$E$5:$E$27,MATCH(G43,'Algorithm Reference'!$A$5:$A$27,0)),6)+IFERROR(INDEX('Algorithm Reference'!$C$33:$C$60,MATCH(Q43,'Algorithm Reference'!$B$33:$B$60,0)),6)+IFERROR(INDEX('Algorithm Reference'!$C$33:$C$60,MATCH(J43,'Algorithm Reference'!$B$33:$B$60,0)),4)+IFERROR(INDEX('Algorithm Reference'!$C$33:$C$60,MATCH(K43,'Algorithm Reference'!$B$33:$B$60,0)),4)+IFERROR(INDEX('Algorithm Reference'!$C$33:$C$60,MATCH(L43,'Algorithm Reference'!$B$33:$B$60,0)),4)+IFERROR(INDEX('Algorithm Reference'!$C$33:$C$60,MATCH(M43,'Algorithm Reference'!$B$33:$B$60,0)),0))</f>
        <v/>
      </c>
      <c r="T43" s="28" t="str">
        <f aca="false">IF(S43="","",IFERROR(INDEX('Algorithm Reference'!$B$64:$B$67,MATCH(S43,'Algorithm Reference'!$A$64:$A$67,1)),""))</f>
        <v/>
      </c>
      <c r="U43" s="30"/>
    </row>
    <row r="44" customFormat="false" ht="30" hidden="false" customHeight="true" outlineLevel="0" collapsed="false">
      <c r="A44" s="30"/>
      <c r="B44" s="30"/>
      <c r="C44" s="30"/>
      <c r="D44" s="30"/>
      <c r="E44" s="30"/>
      <c r="F44" s="30"/>
      <c r="G44" s="30"/>
      <c r="H44" s="30"/>
      <c r="I44" s="15"/>
      <c r="J44" s="30"/>
      <c r="K44" s="30"/>
      <c r="L44" s="30"/>
      <c r="M44" s="30"/>
      <c r="N44" s="28" t="str">
        <f aca="false">IF(G44="","",IFERROR(INDEX('Algorithm Reference'!$C$5:$C$27,MATCH(G44,'Algorithm Reference'!$A$5:$A$27,0)),"Not in reference table"))</f>
        <v/>
      </c>
      <c r="O44" s="28" t="str">
        <f aca="false">IF(G44="","",IFERROR(INDEX('Algorithm Reference'!$D$5:$D$27,MATCH(G44,'Algorithm Reference'!$A$5:$A$27,0)),""))</f>
        <v/>
      </c>
      <c r="P44" s="29" t="str">
        <f aca="false">IF(I44="","",MAX(0,I44-'Planning Assumptions'!$B$5))</f>
        <v/>
      </c>
      <c r="Q44" s="28" t="str">
        <f aca="false">IF(P44="","",IF(P44&lt;=2,"0 to 2 years",IF(P44&lt;=5,"3 to 5 years",IF(P44&lt;=10,"6 to 10 years",IF(P44&lt;=20,"11 to 20 years","Over 20 years or permanent")))))</f>
        <v/>
      </c>
      <c r="R44" s="22" t="str">
        <f aca="false">IF(OR(G44="",I44=""),"",IF(AND(IFERROR(INDEX('Algorithm Reference'!$E$5:$E$27,MATCH(G44,'Algorithm Reference'!$A$5:$A$27,0)),6)&gt;=5,OR(H44="Key exchange",H44="Encryption in transit",H44="Encryption at rest",H44="Multiple purposes"),P44+'Planning Assumptions'!$B$7&gt;'Planning Assumptions'!$B$6-'Planning Assumptions'!$B$5),"EXPOSED","Within tolerance"))</f>
        <v/>
      </c>
      <c r="S44" s="17" t="str">
        <f aca="false">IF(G44="","",IFERROR(INDEX('Algorithm Reference'!$E$5:$E$27,MATCH(G44,'Algorithm Reference'!$A$5:$A$27,0)),6)+IFERROR(INDEX('Algorithm Reference'!$C$33:$C$60,MATCH(Q44,'Algorithm Reference'!$B$33:$B$60,0)),6)+IFERROR(INDEX('Algorithm Reference'!$C$33:$C$60,MATCH(J44,'Algorithm Reference'!$B$33:$B$60,0)),4)+IFERROR(INDEX('Algorithm Reference'!$C$33:$C$60,MATCH(K44,'Algorithm Reference'!$B$33:$B$60,0)),4)+IFERROR(INDEX('Algorithm Reference'!$C$33:$C$60,MATCH(L44,'Algorithm Reference'!$B$33:$B$60,0)),4)+IFERROR(INDEX('Algorithm Reference'!$C$33:$C$60,MATCH(M44,'Algorithm Reference'!$B$33:$B$60,0)),0))</f>
        <v/>
      </c>
      <c r="T44" s="28" t="str">
        <f aca="false">IF(S44="","",IFERROR(INDEX('Algorithm Reference'!$B$64:$B$67,MATCH(S44,'Algorithm Reference'!$A$64:$A$67,1)),""))</f>
        <v/>
      </c>
      <c r="U44" s="30"/>
    </row>
    <row r="45" customFormat="false" ht="30" hidden="false" customHeight="true" outlineLevel="0" collapsed="false">
      <c r="A45" s="30"/>
      <c r="B45" s="30"/>
      <c r="C45" s="30"/>
      <c r="D45" s="30"/>
      <c r="E45" s="30"/>
      <c r="F45" s="30"/>
      <c r="G45" s="30"/>
      <c r="H45" s="30"/>
      <c r="I45" s="15"/>
      <c r="J45" s="30"/>
      <c r="K45" s="30"/>
      <c r="L45" s="30"/>
      <c r="M45" s="30"/>
      <c r="N45" s="28" t="str">
        <f aca="false">IF(G45="","",IFERROR(INDEX('Algorithm Reference'!$C$5:$C$27,MATCH(G45,'Algorithm Reference'!$A$5:$A$27,0)),"Not in reference table"))</f>
        <v/>
      </c>
      <c r="O45" s="28" t="str">
        <f aca="false">IF(G45="","",IFERROR(INDEX('Algorithm Reference'!$D$5:$D$27,MATCH(G45,'Algorithm Reference'!$A$5:$A$27,0)),""))</f>
        <v/>
      </c>
      <c r="P45" s="29" t="str">
        <f aca="false">IF(I45="","",MAX(0,I45-'Planning Assumptions'!$B$5))</f>
        <v/>
      </c>
      <c r="Q45" s="28" t="str">
        <f aca="false">IF(P45="","",IF(P45&lt;=2,"0 to 2 years",IF(P45&lt;=5,"3 to 5 years",IF(P45&lt;=10,"6 to 10 years",IF(P45&lt;=20,"11 to 20 years","Over 20 years or permanent")))))</f>
        <v/>
      </c>
      <c r="R45" s="22" t="str">
        <f aca="false">IF(OR(G45="",I45=""),"",IF(AND(IFERROR(INDEX('Algorithm Reference'!$E$5:$E$27,MATCH(G45,'Algorithm Reference'!$A$5:$A$27,0)),6)&gt;=5,OR(H45="Key exchange",H45="Encryption in transit",H45="Encryption at rest",H45="Multiple purposes"),P45+'Planning Assumptions'!$B$7&gt;'Planning Assumptions'!$B$6-'Planning Assumptions'!$B$5),"EXPOSED","Within tolerance"))</f>
        <v/>
      </c>
      <c r="S45" s="17" t="str">
        <f aca="false">IF(G45="","",IFERROR(INDEX('Algorithm Reference'!$E$5:$E$27,MATCH(G45,'Algorithm Reference'!$A$5:$A$27,0)),6)+IFERROR(INDEX('Algorithm Reference'!$C$33:$C$60,MATCH(Q45,'Algorithm Reference'!$B$33:$B$60,0)),6)+IFERROR(INDEX('Algorithm Reference'!$C$33:$C$60,MATCH(J45,'Algorithm Reference'!$B$33:$B$60,0)),4)+IFERROR(INDEX('Algorithm Reference'!$C$33:$C$60,MATCH(K45,'Algorithm Reference'!$B$33:$B$60,0)),4)+IFERROR(INDEX('Algorithm Reference'!$C$33:$C$60,MATCH(L45,'Algorithm Reference'!$B$33:$B$60,0)),4)+IFERROR(INDEX('Algorithm Reference'!$C$33:$C$60,MATCH(M45,'Algorithm Reference'!$B$33:$B$60,0)),0))</f>
        <v/>
      </c>
      <c r="T45" s="28" t="str">
        <f aca="false">IF(S45="","",IFERROR(INDEX('Algorithm Reference'!$B$64:$B$67,MATCH(S45,'Algorithm Reference'!$A$64:$A$67,1)),""))</f>
        <v/>
      </c>
      <c r="U45" s="30"/>
    </row>
    <row r="46" customFormat="false" ht="30" hidden="false" customHeight="true" outlineLevel="0" collapsed="false">
      <c r="A46" s="30"/>
      <c r="B46" s="30"/>
      <c r="C46" s="30"/>
      <c r="D46" s="30"/>
      <c r="E46" s="30"/>
      <c r="F46" s="30"/>
      <c r="G46" s="30"/>
      <c r="H46" s="30"/>
      <c r="I46" s="15"/>
      <c r="J46" s="30"/>
      <c r="K46" s="30"/>
      <c r="L46" s="30"/>
      <c r="M46" s="30"/>
      <c r="N46" s="28" t="str">
        <f aca="false">IF(G46="","",IFERROR(INDEX('Algorithm Reference'!$C$5:$C$27,MATCH(G46,'Algorithm Reference'!$A$5:$A$27,0)),"Not in reference table"))</f>
        <v/>
      </c>
      <c r="O46" s="28" t="str">
        <f aca="false">IF(G46="","",IFERROR(INDEX('Algorithm Reference'!$D$5:$D$27,MATCH(G46,'Algorithm Reference'!$A$5:$A$27,0)),""))</f>
        <v/>
      </c>
      <c r="P46" s="29" t="str">
        <f aca="false">IF(I46="","",MAX(0,I46-'Planning Assumptions'!$B$5))</f>
        <v/>
      </c>
      <c r="Q46" s="28" t="str">
        <f aca="false">IF(P46="","",IF(P46&lt;=2,"0 to 2 years",IF(P46&lt;=5,"3 to 5 years",IF(P46&lt;=10,"6 to 10 years",IF(P46&lt;=20,"11 to 20 years","Over 20 years or permanent")))))</f>
        <v/>
      </c>
      <c r="R46" s="22" t="str">
        <f aca="false">IF(OR(G46="",I46=""),"",IF(AND(IFERROR(INDEX('Algorithm Reference'!$E$5:$E$27,MATCH(G46,'Algorithm Reference'!$A$5:$A$27,0)),6)&gt;=5,OR(H46="Key exchange",H46="Encryption in transit",H46="Encryption at rest",H46="Multiple purposes"),P46+'Planning Assumptions'!$B$7&gt;'Planning Assumptions'!$B$6-'Planning Assumptions'!$B$5),"EXPOSED","Within tolerance"))</f>
        <v/>
      </c>
      <c r="S46" s="17" t="str">
        <f aca="false">IF(G46="","",IFERROR(INDEX('Algorithm Reference'!$E$5:$E$27,MATCH(G46,'Algorithm Reference'!$A$5:$A$27,0)),6)+IFERROR(INDEX('Algorithm Reference'!$C$33:$C$60,MATCH(Q46,'Algorithm Reference'!$B$33:$B$60,0)),6)+IFERROR(INDEX('Algorithm Reference'!$C$33:$C$60,MATCH(J46,'Algorithm Reference'!$B$33:$B$60,0)),4)+IFERROR(INDEX('Algorithm Reference'!$C$33:$C$60,MATCH(K46,'Algorithm Reference'!$B$33:$B$60,0)),4)+IFERROR(INDEX('Algorithm Reference'!$C$33:$C$60,MATCH(L46,'Algorithm Reference'!$B$33:$B$60,0)),4)+IFERROR(INDEX('Algorithm Reference'!$C$33:$C$60,MATCH(M46,'Algorithm Reference'!$B$33:$B$60,0)),0))</f>
        <v/>
      </c>
      <c r="T46" s="28" t="str">
        <f aca="false">IF(S46="","",IFERROR(INDEX('Algorithm Reference'!$B$64:$B$67,MATCH(S46,'Algorithm Reference'!$A$64:$A$67,1)),""))</f>
        <v/>
      </c>
      <c r="U46" s="30"/>
    </row>
    <row r="47" customFormat="false" ht="30" hidden="false" customHeight="true" outlineLevel="0" collapsed="false">
      <c r="A47" s="30"/>
      <c r="B47" s="30"/>
      <c r="C47" s="30"/>
      <c r="D47" s="30"/>
      <c r="E47" s="30"/>
      <c r="F47" s="30"/>
      <c r="G47" s="30"/>
      <c r="H47" s="30"/>
      <c r="I47" s="15"/>
      <c r="J47" s="30"/>
      <c r="K47" s="30"/>
      <c r="L47" s="30"/>
      <c r="M47" s="30"/>
      <c r="N47" s="28" t="str">
        <f aca="false">IF(G47="","",IFERROR(INDEX('Algorithm Reference'!$C$5:$C$27,MATCH(G47,'Algorithm Reference'!$A$5:$A$27,0)),"Not in reference table"))</f>
        <v/>
      </c>
      <c r="O47" s="28" t="str">
        <f aca="false">IF(G47="","",IFERROR(INDEX('Algorithm Reference'!$D$5:$D$27,MATCH(G47,'Algorithm Reference'!$A$5:$A$27,0)),""))</f>
        <v/>
      </c>
      <c r="P47" s="29" t="str">
        <f aca="false">IF(I47="","",MAX(0,I47-'Planning Assumptions'!$B$5))</f>
        <v/>
      </c>
      <c r="Q47" s="28" t="str">
        <f aca="false">IF(P47="","",IF(P47&lt;=2,"0 to 2 years",IF(P47&lt;=5,"3 to 5 years",IF(P47&lt;=10,"6 to 10 years",IF(P47&lt;=20,"11 to 20 years","Over 20 years or permanent")))))</f>
        <v/>
      </c>
      <c r="R47" s="22" t="str">
        <f aca="false">IF(OR(G47="",I47=""),"",IF(AND(IFERROR(INDEX('Algorithm Reference'!$E$5:$E$27,MATCH(G47,'Algorithm Reference'!$A$5:$A$27,0)),6)&gt;=5,OR(H47="Key exchange",H47="Encryption in transit",H47="Encryption at rest",H47="Multiple purposes"),P47+'Planning Assumptions'!$B$7&gt;'Planning Assumptions'!$B$6-'Planning Assumptions'!$B$5),"EXPOSED","Within tolerance"))</f>
        <v/>
      </c>
      <c r="S47" s="17" t="str">
        <f aca="false">IF(G47="","",IFERROR(INDEX('Algorithm Reference'!$E$5:$E$27,MATCH(G47,'Algorithm Reference'!$A$5:$A$27,0)),6)+IFERROR(INDEX('Algorithm Reference'!$C$33:$C$60,MATCH(Q47,'Algorithm Reference'!$B$33:$B$60,0)),6)+IFERROR(INDEX('Algorithm Reference'!$C$33:$C$60,MATCH(J47,'Algorithm Reference'!$B$33:$B$60,0)),4)+IFERROR(INDEX('Algorithm Reference'!$C$33:$C$60,MATCH(K47,'Algorithm Reference'!$B$33:$B$60,0)),4)+IFERROR(INDEX('Algorithm Reference'!$C$33:$C$60,MATCH(L47,'Algorithm Reference'!$B$33:$B$60,0)),4)+IFERROR(INDEX('Algorithm Reference'!$C$33:$C$60,MATCH(M47,'Algorithm Reference'!$B$33:$B$60,0)),0))</f>
        <v/>
      </c>
      <c r="T47" s="28" t="str">
        <f aca="false">IF(S47="","",IFERROR(INDEX('Algorithm Reference'!$B$64:$B$67,MATCH(S47,'Algorithm Reference'!$A$64:$A$67,1)),""))</f>
        <v/>
      </c>
      <c r="U47" s="30"/>
    </row>
    <row r="48" customFormat="false" ht="30" hidden="false" customHeight="true" outlineLevel="0" collapsed="false">
      <c r="A48" s="30"/>
      <c r="B48" s="30"/>
      <c r="C48" s="30"/>
      <c r="D48" s="30"/>
      <c r="E48" s="30"/>
      <c r="F48" s="30"/>
      <c r="G48" s="30"/>
      <c r="H48" s="30"/>
      <c r="I48" s="15"/>
      <c r="J48" s="30"/>
      <c r="K48" s="30"/>
      <c r="L48" s="30"/>
      <c r="M48" s="30"/>
      <c r="N48" s="28" t="str">
        <f aca="false">IF(G48="","",IFERROR(INDEX('Algorithm Reference'!$C$5:$C$27,MATCH(G48,'Algorithm Reference'!$A$5:$A$27,0)),"Not in reference table"))</f>
        <v/>
      </c>
      <c r="O48" s="28" t="str">
        <f aca="false">IF(G48="","",IFERROR(INDEX('Algorithm Reference'!$D$5:$D$27,MATCH(G48,'Algorithm Reference'!$A$5:$A$27,0)),""))</f>
        <v/>
      </c>
      <c r="P48" s="29" t="str">
        <f aca="false">IF(I48="","",MAX(0,I48-'Planning Assumptions'!$B$5))</f>
        <v/>
      </c>
      <c r="Q48" s="28" t="str">
        <f aca="false">IF(P48="","",IF(P48&lt;=2,"0 to 2 years",IF(P48&lt;=5,"3 to 5 years",IF(P48&lt;=10,"6 to 10 years",IF(P48&lt;=20,"11 to 20 years","Over 20 years or permanent")))))</f>
        <v/>
      </c>
      <c r="R48" s="22" t="str">
        <f aca="false">IF(OR(G48="",I48=""),"",IF(AND(IFERROR(INDEX('Algorithm Reference'!$E$5:$E$27,MATCH(G48,'Algorithm Reference'!$A$5:$A$27,0)),6)&gt;=5,OR(H48="Key exchange",H48="Encryption in transit",H48="Encryption at rest",H48="Multiple purposes"),P48+'Planning Assumptions'!$B$7&gt;'Planning Assumptions'!$B$6-'Planning Assumptions'!$B$5),"EXPOSED","Within tolerance"))</f>
        <v/>
      </c>
      <c r="S48" s="17" t="str">
        <f aca="false">IF(G48="","",IFERROR(INDEX('Algorithm Reference'!$E$5:$E$27,MATCH(G48,'Algorithm Reference'!$A$5:$A$27,0)),6)+IFERROR(INDEX('Algorithm Reference'!$C$33:$C$60,MATCH(Q48,'Algorithm Reference'!$B$33:$B$60,0)),6)+IFERROR(INDEX('Algorithm Reference'!$C$33:$C$60,MATCH(J48,'Algorithm Reference'!$B$33:$B$60,0)),4)+IFERROR(INDEX('Algorithm Reference'!$C$33:$C$60,MATCH(K48,'Algorithm Reference'!$B$33:$B$60,0)),4)+IFERROR(INDEX('Algorithm Reference'!$C$33:$C$60,MATCH(L48,'Algorithm Reference'!$B$33:$B$60,0)),4)+IFERROR(INDEX('Algorithm Reference'!$C$33:$C$60,MATCH(M48,'Algorithm Reference'!$B$33:$B$60,0)),0))</f>
        <v/>
      </c>
      <c r="T48" s="28" t="str">
        <f aca="false">IF(S48="","",IFERROR(INDEX('Algorithm Reference'!$B$64:$B$67,MATCH(S48,'Algorithm Reference'!$A$64:$A$67,1)),""))</f>
        <v/>
      </c>
      <c r="U48" s="30"/>
    </row>
    <row r="49" customFormat="false" ht="30" hidden="false" customHeight="true" outlineLevel="0" collapsed="false">
      <c r="A49" s="30"/>
      <c r="B49" s="30"/>
      <c r="C49" s="30"/>
      <c r="D49" s="30"/>
      <c r="E49" s="30"/>
      <c r="F49" s="30"/>
      <c r="G49" s="30"/>
      <c r="H49" s="30"/>
      <c r="I49" s="15"/>
      <c r="J49" s="30"/>
      <c r="K49" s="30"/>
      <c r="L49" s="30"/>
      <c r="M49" s="30"/>
      <c r="N49" s="28" t="str">
        <f aca="false">IF(G49="","",IFERROR(INDEX('Algorithm Reference'!$C$5:$C$27,MATCH(G49,'Algorithm Reference'!$A$5:$A$27,0)),"Not in reference table"))</f>
        <v/>
      </c>
      <c r="O49" s="28" t="str">
        <f aca="false">IF(G49="","",IFERROR(INDEX('Algorithm Reference'!$D$5:$D$27,MATCH(G49,'Algorithm Reference'!$A$5:$A$27,0)),""))</f>
        <v/>
      </c>
      <c r="P49" s="29" t="str">
        <f aca="false">IF(I49="","",MAX(0,I49-'Planning Assumptions'!$B$5))</f>
        <v/>
      </c>
      <c r="Q49" s="28" t="str">
        <f aca="false">IF(P49="","",IF(P49&lt;=2,"0 to 2 years",IF(P49&lt;=5,"3 to 5 years",IF(P49&lt;=10,"6 to 10 years",IF(P49&lt;=20,"11 to 20 years","Over 20 years or permanent")))))</f>
        <v/>
      </c>
      <c r="R49" s="22" t="str">
        <f aca="false">IF(OR(G49="",I49=""),"",IF(AND(IFERROR(INDEX('Algorithm Reference'!$E$5:$E$27,MATCH(G49,'Algorithm Reference'!$A$5:$A$27,0)),6)&gt;=5,OR(H49="Key exchange",H49="Encryption in transit",H49="Encryption at rest",H49="Multiple purposes"),P49+'Planning Assumptions'!$B$7&gt;'Planning Assumptions'!$B$6-'Planning Assumptions'!$B$5),"EXPOSED","Within tolerance"))</f>
        <v/>
      </c>
      <c r="S49" s="17" t="str">
        <f aca="false">IF(G49="","",IFERROR(INDEX('Algorithm Reference'!$E$5:$E$27,MATCH(G49,'Algorithm Reference'!$A$5:$A$27,0)),6)+IFERROR(INDEX('Algorithm Reference'!$C$33:$C$60,MATCH(Q49,'Algorithm Reference'!$B$33:$B$60,0)),6)+IFERROR(INDEX('Algorithm Reference'!$C$33:$C$60,MATCH(J49,'Algorithm Reference'!$B$33:$B$60,0)),4)+IFERROR(INDEX('Algorithm Reference'!$C$33:$C$60,MATCH(K49,'Algorithm Reference'!$B$33:$B$60,0)),4)+IFERROR(INDEX('Algorithm Reference'!$C$33:$C$60,MATCH(L49,'Algorithm Reference'!$B$33:$B$60,0)),4)+IFERROR(INDEX('Algorithm Reference'!$C$33:$C$60,MATCH(M49,'Algorithm Reference'!$B$33:$B$60,0)),0))</f>
        <v/>
      </c>
      <c r="T49" s="28" t="str">
        <f aca="false">IF(S49="","",IFERROR(INDEX('Algorithm Reference'!$B$64:$B$67,MATCH(S49,'Algorithm Reference'!$A$64:$A$67,1)),""))</f>
        <v/>
      </c>
      <c r="U49" s="30"/>
    </row>
    <row r="51" customFormat="false" ht="15" hidden="false" customHeight="true" outlineLevel="0" collapsed="false">
      <c r="A51" s="11" t="s">
        <v>28</v>
      </c>
      <c r="B51" s="11"/>
      <c r="C51" s="11"/>
      <c r="D51" s="11"/>
      <c r="E51" s="11"/>
      <c r="F51" s="11"/>
      <c r="G51" s="11"/>
      <c r="H51" s="11"/>
      <c r="I51" s="11"/>
      <c r="J51" s="11"/>
      <c r="K51" s="11"/>
      <c r="L51" s="11"/>
      <c r="M51" s="11"/>
      <c r="N51" s="11"/>
      <c r="O51" s="11"/>
      <c r="P51" s="11"/>
      <c r="Q51" s="11"/>
      <c r="R51" s="11"/>
      <c r="S51" s="11"/>
      <c r="T51" s="11"/>
      <c r="U51" s="11"/>
    </row>
    <row r="52" customFormat="false" ht="15" hidden="false" customHeight="true" outlineLevel="0" collapsed="false">
      <c r="A52" s="11"/>
      <c r="B52" s="11"/>
      <c r="C52" s="11"/>
      <c r="D52" s="11"/>
      <c r="E52" s="11"/>
      <c r="F52" s="11"/>
      <c r="G52" s="11"/>
      <c r="H52" s="11"/>
      <c r="I52" s="11"/>
      <c r="J52" s="11"/>
      <c r="K52" s="11"/>
      <c r="L52" s="11"/>
      <c r="M52" s="11"/>
      <c r="N52" s="11"/>
      <c r="O52" s="11"/>
      <c r="P52" s="11"/>
      <c r="Q52" s="11"/>
      <c r="R52" s="11"/>
      <c r="S52" s="11"/>
      <c r="T52" s="11"/>
      <c r="U52" s="11"/>
    </row>
  </sheetData>
  <autoFilter ref="A4:U49"/>
  <mergeCells count="3">
    <mergeCell ref="A1:U1"/>
    <mergeCell ref="A2:U2"/>
    <mergeCell ref="A51:U52"/>
  </mergeCells>
  <conditionalFormatting sqref="R5:R49">
    <cfRule type="expression" priority="2" aboveAverage="0" equalAverage="0" bottom="0" percent="0" rank="0" text="" dxfId="0">
      <formula>$R5="EXPOSED"</formula>
    </cfRule>
    <cfRule type="expression" priority="3" aboveAverage="0" equalAverage="0" bottom="0" percent="0" rank="0" text="" dxfId="9">
      <formula>$R5="Within tolerance"</formula>
    </cfRule>
  </conditionalFormatting>
  <conditionalFormatting sqref="S5:S49">
    <cfRule type="cellIs" priority="4" operator="greaterThanOrEqual" aboveAverage="0" equalAverage="0" bottom="0" percent="0" rank="0" text="" dxfId="0">
      <formula>20</formula>
    </cfRule>
    <cfRule type="cellIs" priority="5" operator="between" aboveAverage="0" equalAverage="0" bottom="0" percent="0" rank="0" text="" dxfId="10">
      <formula>14</formula>
      <formula>19</formula>
    </cfRule>
  </conditionalFormatting>
  <dataValidations count="5">
    <dataValidation allowBlank="true" errorStyle="stop" operator="between" showDropDown="false" showErrorMessage="false" showInputMessage="false" sqref="H5:H49" type="list">
      <formula1>"Key exchange,Digital signature,Encryption in transit,Encryption at rest,Hashing or integrity,Authentication,Multiple purposes"</formula1>
      <formula2>0</formula2>
    </dataValidation>
    <dataValidation allowBlank="true" errorStyle="stop" operator="between" showDropDown="false" showErrorMessage="false" showInputMessage="false" sqref="J5:J49" type="list">
      <formula1>"Low,configuration only,Medium,code or certificate change,High,architecture change,Very high,vendor or hardware dependent,Unknown"</formula1>
      <formula2>0</formula2>
    </dataValidation>
    <dataValidation allowBlank="true" errorStyle="stop" operator="between" showDropDown="false" showErrorMessage="false" showInputMessage="false" sqref="K5:K49" type="list">
      <formula1>"Configurable without code change,Code change required,Firmware update required,Hardware replacement required,Unknown"</formula1>
      <formula2>0</formula2>
    </dataValidation>
    <dataValidation allowBlank="true" errorStyle="stop" operator="between" showDropDown="false" showErrorMessage="false" showInputMessage="false" sqref="L5:L49" type="list">
      <formula1>"Committed date published,Roadmap with no date,No response received,Not applicable,internally built,Unknown"</formula1>
      <formula2>0</formula2>
    </dataValidation>
    <dataValidation allowBlank="true" errorStyle="stop" operator="between" showDropDown="false" showErrorMessage="false" showInputMessage="false" sqref="M5:M49" type="list">
      <formula1>"CNSA 2.0 national security systems,US federal executive order,DORA financial sector,NIS2 critical infrastructure,Other sector regulation,Contractual customer requirement,None identified"</formula1>
      <formula2>0</formula2>
    </dataValidation>
  </dataValidations>
  <printOptions headings="false" gridLines="false" gridLinesSet="true" horizontalCentered="false" verticalCentered="false"/>
  <pageMargins left="0.4" right="0.4" top="0.5" bottom="0.5" header="0.511811023622047" footer="0.25"/>
  <pageSetup paperSize="1" scale="100" fitToWidth="3" fitToHeight="0" pageOrder="downThenOver" orientation="landscape" blackAndWhite="false" draft="false" cellComments="none" horizontalDpi="300" verticalDpi="300" copies="1"/>
  <headerFooter differentFirst="false" differentOddEven="false">
    <oddHeader/>
    <oddFooter>&amp;L&amp;8 &amp;K808080When Agents Rule companion toolkit&amp;R&amp;8 &amp;K808080&amp;A  |  Page &amp;P of &amp;N</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91C1C"/>
    <pageSetUpPr fitToPage="true"/>
  </sheetPr>
  <dimension ref="A1:H2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28"/>
    <col collapsed="false" customWidth="true" hidden="false" outlineLevel="0" max="3" min="2" style="1" width="14"/>
    <col collapsed="false" customWidth="true" hidden="false" outlineLevel="0" max="6" min="4" style="1" width="16"/>
    <col collapsed="false" customWidth="true" hidden="false" outlineLevel="0" max="7" min="7" style="1" width="20"/>
    <col collapsed="false" customWidth="true" hidden="false" outlineLevel="0" max="8" min="8" style="1" width="34"/>
  </cols>
  <sheetData>
    <row r="1" customFormat="false" ht="30" hidden="false" customHeight="true" outlineLevel="0" collapsed="false">
      <c r="A1" s="2" t="s">
        <v>201</v>
      </c>
      <c r="B1" s="2"/>
      <c r="C1" s="2"/>
      <c r="D1" s="2"/>
      <c r="E1" s="2"/>
      <c r="F1" s="2"/>
      <c r="G1" s="2"/>
      <c r="H1" s="2"/>
    </row>
    <row r="2" customFormat="false" ht="25.5" hidden="false" customHeight="true" outlineLevel="0" collapsed="false">
      <c r="A2" s="3" t="s">
        <v>202</v>
      </c>
      <c r="B2" s="3"/>
      <c r="C2" s="3"/>
      <c r="D2" s="3"/>
      <c r="E2" s="3"/>
      <c r="F2" s="3"/>
      <c r="G2" s="3"/>
      <c r="H2" s="3"/>
    </row>
    <row r="4" customFormat="false" ht="54" hidden="false" customHeight="true" outlineLevel="0" collapsed="false">
      <c r="A4" s="18" t="s">
        <v>203</v>
      </c>
      <c r="B4" s="18" t="s">
        <v>204</v>
      </c>
      <c r="C4" s="18" t="s">
        <v>205</v>
      </c>
      <c r="D4" s="18" t="s">
        <v>206</v>
      </c>
      <c r="E4" s="18" t="s">
        <v>207</v>
      </c>
      <c r="F4" s="18" t="s">
        <v>208</v>
      </c>
      <c r="G4" s="18" t="s">
        <v>209</v>
      </c>
      <c r="H4" s="18" t="s">
        <v>210</v>
      </c>
    </row>
    <row r="5" customFormat="false" ht="25.5" hidden="false" customHeight="true" outlineLevel="0" collapsed="false">
      <c r="A5" s="31" t="s">
        <v>211</v>
      </c>
      <c r="B5" s="15" t="n">
        <v>40</v>
      </c>
      <c r="C5" s="15" t="n">
        <v>6</v>
      </c>
      <c r="D5" s="15" t="n">
        <v>2016</v>
      </c>
      <c r="E5" s="29" t="n">
        <f aca="false">IF(B5="","",'Planning Assumptions'!$B$5+B5)</f>
        <v>2066</v>
      </c>
      <c r="F5" s="32" t="n">
        <f aca="false">IF(OR(B5="",C5=""),"",('Planning Assumptions'!$B$6-'Planning Assumptions'!$B$5)-(B5+C5))</f>
        <v>-40</v>
      </c>
      <c r="G5" s="22" t="str">
        <f aca="false">IF(F5="","",IF(F5&lt;0,"EXPOSED TODAY",IF(F5&lt;=2,"MARGINAL","Within tolerance")))</f>
        <v>EXPOSED TODAY</v>
      </c>
      <c r="H5" s="30"/>
    </row>
    <row r="6" customFormat="false" ht="25.5" hidden="false" customHeight="true" outlineLevel="0" collapsed="false">
      <c r="A6" s="31" t="s">
        <v>212</v>
      </c>
      <c r="B6" s="15" t="n">
        <v>10</v>
      </c>
      <c r="C6" s="15" t="n">
        <v>4</v>
      </c>
      <c r="D6" s="15" t="n">
        <v>2018</v>
      </c>
      <c r="E6" s="29" t="n">
        <f aca="false">IF(B6="","",'Planning Assumptions'!$B$5+B6)</f>
        <v>2036</v>
      </c>
      <c r="F6" s="32" t="n">
        <f aca="false">IF(OR(B6="",C6=""),"",('Planning Assumptions'!$B$6-'Planning Assumptions'!$B$5)-(B6+C6))</f>
        <v>-8</v>
      </c>
      <c r="G6" s="22" t="str">
        <f aca="false">IF(F6="","",IF(F6&lt;0,"EXPOSED TODAY",IF(F6&lt;=2,"MARGINAL","Within tolerance")))</f>
        <v>EXPOSED TODAY</v>
      </c>
      <c r="H6" s="30"/>
    </row>
    <row r="7" customFormat="false" ht="25.5" hidden="false" customHeight="true" outlineLevel="0" collapsed="false">
      <c r="A7" s="31" t="s">
        <v>213</v>
      </c>
      <c r="B7" s="15" t="n">
        <v>45</v>
      </c>
      <c r="C7" s="15" t="n">
        <v>5</v>
      </c>
      <c r="D7" s="15" t="n">
        <v>2015</v>
      </c>
      <c r="E7" s="29" t="n">
        <f aca="false">IF(B7="","",'Planning Assumptions'!$B$5+B7)</f>
        <v>2071</v>
      </c>
      <c r="F7" s="32" t="n">
        <f aca="false">IF(OR(B7="",C7=""),"",('Planning Assumptions'!$B$6-'Planning Assumptions'!$B$5)-(B7+C7))</f>
        <v>-44</v>
      </c>
      <c r="G7" s="22" t="str">
        <f aca="false">IF(F7="","",IF(F7&lt;0,"EXPOSED TODAY",IF(F7&lt;=2,"MARGINAL","Within tolerance")))</f>
        <v>EXPOSED TODAY</v>
      </c>
      <c r="H7" s="30"/>
    </row>
    <row r="8" customFormat="false" ht="25.5" hidden="false" customHeight="true" outlineLevel="0" collapsed="false">
      <c r="A8" s="31" t="s">
        <v>214</v>
      </c>
      <c r="B8" s="15" t="n">
        <v>25</v>
      </c>
      <c r="C8" s="15" t="n">
        <v>3</v>
      </c>
      <c r="D8" s="15" t="n">
        <v>2014</v>
      </c>
      <c r="E8" s="29" t="n">
        <f aca="false">IF(B8="","",'Planning Assumptions'!$B$5+B8)</f>
        <v>2051</v>
      </c>
      <c r="F8" s="32" t="n">
        <f aca="false">IF(OR(B8="",C8=""),"",('Planning Assumptions'!$B$6-'Planning Assumptions'!$B$5)-(B8+C8))</f>
        <v>-22</v>
      </c>
      <c r="G8" s="22" t="str">
        <f aca="false">IF(F8="","",IF(F8&lt;0,"EXPOSED TODAY",IF(F8&lt;=2,"MARGINAL","Within tolerance")))</f>
        <v>EXPOSED TODAY</v>
      </c>
      <c r="H8" s="30"/>
    </row>
    <row r="9" customFormat="false" ht="25.5" hidden="false" customHeight="true" outlineLevel="0" collapsed="false">
      <c r="A9" s="31" t="s">
        <v>215</v>
      </c>
      <c r="B9" s="15" t="n">
        <v>20</v>
      </c>
      <c r="C9" s="15" t="n">
        <v>2</v>
      </c>
      <c r="D9" s="15" t="n">
        <v>2017</v>
      </c>
      <c r="E9" s="29" t="n">
        <f aca="false">IF(B9="","",'Planning Assumptions'!$B$5+B9)</f>
        <v>2046</v>
      </c>
      <c r="F9" s="32" t="n">
        <f aca="false">IF(OR(B9="",C9=""),"",('Planning Assumptions'!$B$6-'Planning Assumptions'!$B$5)-(B9+C9))</f>
        <v>-16</v>
      </c>
      <c r="G9" s="22" t="str">
        <f aca="false">IF(F9="","",IF(F9&lt;0,"EXPOSED TODAY",IF(F9&lt;=2,"MARGINAL","Within tolerance")))</f>
        <v>EXPOSED TODAY</v>
      </c>
      <c r="H9" s="30"/>
    </row>
    <row r="10" customFormat="false" ht="25.5" hidden="false" customHeight="true" outlineLevel="0" collapsed="false">
      <c r="A10" s="31" t="s">
        <v>216</v>
      </c>
      <c r="B10" s="15" t="n">
        <v>30</v>
      </c>
      <c r="C10" s="15" t="n">
        <v>3</v>
      </c>
      <c r="D10" s="15" t="n">
        <v>2015</v>
      </c>
      <c r="E10" s="29" t="n">
        <f aca="false">IF(B10="","",'Planning Assumptions'!$B$5+B10)</f>
        <v>2056</v>
      </c>
      <c r="F10" s="32" t="n">
        <f aca="false">IF(OR(B10="",C10=""),"",('Planning Assumptions'!$B$6-'Planning Assumptions'!$B$5)-(B10+C10))</f>
        <v>-27</v>
      </c>
      <c r="G10" s="22" t="str">
        <f aca="false">IF(F10="","",IF(F10&lt;0,"EXPOSED TODAY",IF(F10&lt;=2,"MARGINAL","Within tolerance")))</f>
        <v>EXPOSED TODAY</v>
      </c>
      <c r="H10" s="30"/>
    </row>
    <row r="11" customFormat="false" ht="25.5" hidden="false" customHeight="true" outlineLevel="0" collapsed="false">
      <c r="A11" s="31" t="s">
        <v>217</v>
      </c>
      <c r="B11" s="15" t="n">
        <v>15</v>
      </c>
      <c r="C11" s="15" t="n">
        <v>4</v>
      </c>
      <c r="D11" s="15" t="n">
        <v>2019</v>
      </c>
      <c r="E11" s="29" t="n">
        <f aca="false">IF(B11="","",'Planning Assumptions'!$B$5+B11)</f>
        <v>2041</v>
      </c>
      <c r="F11" s="32" t="n">
        <f aca="false">IF(OR(B11="",C11=""),"",('Planning Assumptions'!$B$6-'Planning Assumptions'!$B$5)-(B11+C11))</f>
        <v>-13</v>
      </c>
      <c r="G11" s="22" t="str">
        <f aca="false">IF(F11="","",IF(F11&lt;0,"EXPOSED TODAY",IF(F11&lt;=2,"MARGINAL","Within tolerance")))</f>
        <v>EXPOSED TODAY</v>
      </c>
      <c r="H11" s="30"/>
    </row>
    <row r="12" customFormat="false" ht="25.5" hidden="false" customHeight="true" outlineLevel="0" collapsed="false">
      <c r="A12" s="31" t="s">
        <v>218</v>
      </c>
      <c r="B12" s="15" t="n">
        <v>3</v>
      </c>
      <c r="C12" s="15" t="n">
        <v>2</v>
      </c>
      <c r="D12" s="15" t="n">
        <v>2022</v>
      </c>
      <c r="E12" s="29" t="n">
        <f aca="false">IF(B12="","",'Planning Assumptions'!$B$5+B12)</f>
        <v>2029</v>
      </c>
      <c r="F12" s="32" t="n">
        <f aca="false">IF(OR(B12="",C12=""),"",('Planning Assumptions'!$B$6-'Planning Assumptions'!$B$5)-(B12+C12))</f>
        <v>1</v>
      </c>
      <c r="G12" s="22" t="str">
        <f aca="false">IF(F12="","",IF(F12&lt;0,"EXPOSED TODAY",IF(F12&lt;=2,"MARGINAL","Within tolerance")))</f>
        <v>MARGINAL</v>
      </c>
      <c r="H12" s="30"/>
    </row>
    <row r="14" customFormat="false" ht="30" hidden="false" customHeight="true" outlineLevel="0" collapsed="false">
      <c r="A14" s="14" t="s">
        <v>219</v>
      </c>
      <c r="B14" s="32" t="n">
        <f aca="false">COUNTIF(G5:G12,"EXPOSED TODAY")</f>
        <v>7</v>
      </c>
      <c r="C14" s="9" t="s">
        <v>220</v>
      </c>
      <c r="D14" s="9"/>
      <c r="E14" s="9"/>
      <c r="F14" s="9"/>
      <c r="G14" s="9"/>
      <c r="H14" s="9"/>
    </row>
    <row r="15" customFormat="false" ht="30" hidden="false" customHeight="true" outlineLevel="0" collapsed="false">
      <c r="A15" s="14" t="s">
        <v>221</v>
      </c>
      <c r="B15" s="32" t="n">
        <f aca="false">COUNTIF(G5:G12,"MARGINAL")</f>
        <v>1</v>
      </c>
      <c r="C15" s="9" t="s">
        <v>222</v>
      </c>
      <c r="D15" s="9"/>
      <c r="E15" s="9"/>
      <c r="F15" s="9"/>
      <c r="G15" s="9"/>
      <c r="H15" s="9"/>
    </row>
    <row r="16" customFormat="false" ht="30" hidden="false" customHeight="true" outlineLevel="0" collapsed="false">
      <c r="A16" s="14" t="s">
        <v>223</v>
      </c>
      <c r="B16" s="32" t="n">
        <f aca="false">IFERROR(MIN(F5:F12),"")</f>
        <v>-44</v>
      </c>
      <c r="C16" s="9" t="s">
        <v>224</v>
      </c>
      <c r="D16" s="9"/>
      <c r="E16" s="9"/>
      <c r="F16" s="9"/>
      <c r="G16" s="9"/>
      <c r="H16" s="9"/>
    </row>
    <row r="17" customFormat="false" ht="30" hidden="false" customHeight="true" outlineLevel="0" collapsed="false">
      <c r="A17" s="14" t="s">
        <v>225</v>
      </c>
      <c r="B17" s="32" t="n">
        <f aca="false">IFERROR(AVERAGE(F5:F12),"")</f>
        <v>-21.125</v>
      </c>
      <c r="C17" s="9" t="s">
        <v>226</v>
      </c>
      <c r="D17" s="9"/>
      <c r="E17" s="9"/>
      <c r="F17" s="9"/>
      <c r="G17" s="9"/>
      <c r="H17" s="9"/>
    </row>
    <row r="19" customFormat="false" ht="30" hidden="false" customHeight="true" outlineLevel="0" collapsed="false">
      <c r="A19" s="23" t="s">
        <v>227</v>
      </c>
      <c r="B19" s="23"/>
      <c r="C19" s="23"/>
      <c r="D19" s="23"/>
      <c r="E19" s="23"/>
      <c r="F19" s="23"/>
      <c r="G19" s="23"/>
      <c r="H19" s="23"/>
    </row>
    <row r="20" customFormat="false" ht="30" hidden="false" customHeight="true" outlineLevel="0" collapsed="false">
      <c r="A20" s="23" t="s">
        <v>228</v>
      </c>
      <c r="B20" s="23"/>
      <c r="C20" s="23"/>
      <c r="D20" s="23"/>
      <c r="E20" s="23"/>
      <c r="F20" s="23"/>
      <c r="G20" s="23"/>
      <c r="H20" s="23"/>
    </row>
    <row r="21" customFormat="false" ht="15" hidden="false" customHeight="true" outlineLevel="0" collapsed="false">
      <c r="A21" s="11" t="s">
        <v>28</v>
      </c>
      <c r="B21" s="11"/>
      <c r="C21" s="11"/>
      <c r="D21" s="11"/>
      <c r="E21" s="11"/>
      <c r="F21" s="11"/>
      <c r="G21" s="11"/>
      <c r="H21" s="11"/>
    </row>
    <row r="22" customFormat="false" ht="15" hidden="false" customHeight="true" outlineLevel="0" collapsed="false">
      <c r="A22" s="11"/>
      <c r="B22" s="11"/>
      <c r="C22" s="11"/>
      <c r="D22" s="11"/>
      <c r="E22" s="11"/>
      <c r="F22" s="11"/>
      <c r="G22" s="11"/>
      <c r="H22" s="11"/>
    </row>
  </sheetData>
  <mergeCells count="9">
    <mergeCell ref="A1:H1"/>
    <mergeCell ref="A2:H2"/>
    <mergeCell ref="C14:H14"/>
    <mergeCell ref="C15:H15"/>
    <mergeCell ref="C16:H16"/>
    <mergeCell ref="C17:H17"/>
    <mergeCell ref="A19:H19"/>
    <mergeCell ref="A20:H20"/>
    <mergeCell ref="A21:H22"/>
  </mergeCells>
  <conditionalFormatting sqref="G5:G12">
    <cfRule type="expression" priority="2" aboveAverage="0" equalAverage="0" bottom="0" percent="0" rank="0" text="" dxfId="0">
      <formula>$G5="EXPOSED TODAY"</formula>
    </cfRule>
    <cfRule type="expression" priority="3" aboveAverage="0" equalAverage="0" bottom="0" percent="0" rank="0" text="" dxfId="10">
      <formula>$G5="MARGINAL"</formula>
    </cfRule>
    <cfRule type="expression" priority="4" aboveAverage="0" equalAverage="0" bottom="0" percent="0" rank="0" text="" dxfId="9">
      <formula>$G5="Within tolerance"</formula>
    </cfRule>
  </conditionalFormatting>
  <conditionalFormatting sqref="F5:F12">
    <cfRule type="cellIs" priority="5" operator="lessThan" aboveAverage="0" equalAverage="0" bottom="0" percent="0" rank="0" text="" dxfId="0">
      <formula>0</formula>
    </cfRule>
  </conditionalFormatting>
  <printOptions headings="false" gridLines="false" gridLinesSet="true" horizontalCentered="true" verticalCentered="false"/>
  <pageMargins left="0.4" right="0.4" top="0.5" bottom="0.5" header="0.511811023622047" footer="0.25"/>
  <pageSetup paperSize="1" scale="100" fitToWidth="1" fitToHeight="0" pageOrder="downThenOver" orientation="landscape" blackAndWhite="false" draft="false" cellComments="none" horizontalDpi="300" verticalDpi="300" copies="1"/>
  <headerFooter differentFirst="false" differentOddEven="false">
    <oddHeader/>
    <oddFooter>&amp;L&amp;8 &amp;K808080When Agents Rule companion toolkit&amp;R&amp;8 &amp;K808080&amp;A  |  Page &amp;P of &amp;N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9A227"/>
    <pageSetUpPr fitToPage="true"/>
  </sheetPr>
  <dimension ref="A1:H3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24" topLeftCell="A2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40"/>
    <col collapsed="false" customWidth="true" hidden="false" outlineLevel="0" max="7" min="2" style="1" width="14"/>
    <col collapsed="false" customWidth="true" hidden="false" outlineLevel="0" max="8" min="8" style="1" width="30"/>
  </cols>
  <sheetData>
    <row r="1" customFormat="false" ht="30" hidden="false" customHeight="true" outlineLevel="0" collapsed="false">
      <c r="A1" s="12" t="s">
        <v>229</v>
      </c>
      <c r="B1" s="12"/>
      <c r="C1" s="12"/>
      <c r="D1" s="12"/>
      <c r="E1" s="12"/>
      <c r="F1" s="12"/>
      <c r="G1" s="12"/>
      <c r="H1" s="12"/>
    </row>
    <row r="2" customFormat="false" ht="25.5" hidden="false" customHeight="true" outlineLevel="0" collapsed="false">
      <c r="A2" s="3" t="s">
        <v>230</v>
      </c>
      <c r="B2" s="3"/>
      <c r="C2" s="3"/>
      <c r="D2" s="3"/>
      <c r="E2" s="3"/>
      <c r="F2" s="3"/>
      <c r="G2" s="3"/>
      <c r="H2" s="3"/>
    </row>
    <row r="4" customFormat="false" ht="21.75" hidden="false" customHeight="true" outlineLevel="0" collapsed="false">
      <c r="A4" s="4" t="s">
        <v>231</v>
      </c>
      <c r="B4" s="4"/>
      <c r="C4" s="4"/>
      <c r="D4" s="4"/>
      <c r="E4" s="4"/>
      <c r="F4" s="4"/>
      <c r="G4" s="4"/>
      <c r="H4" s="4"/>
    </row>
    <row r="5" customFormat="false" ht="21.75" hidden="false" customHeight="true" outlineLevel="0" collapsed="false">
      <c r="A5" s="13" t="s">
        <v>232</v>
      </c>
      <c r="B5" s="13" t="s">
        <v>32</v>
      </c>
      <c r="C5" s="13"/>
      <c r="D5" s="13"/>
      <c r="E5" s="13"/>
      <c r="F5" s="13"/>
      <c r="G5" s="13"/>
      <c r="H5" s="13" t="s">
        <v>233</v>
      </c>
    </row>
    <row r="6" customFormat="false" ht="31.5" hidden="false" customHeight="true" outlineLevel="0" collapsed="false">
      <c r="A6" s="14" t="s">
        <v>234</v>
      </c>
      <c r="B6" s="33" t="n">
        <f aca="false">COUNTA('Cryptographic Census'!$B$5:$B$49)</f>
        <v>1</v>
      </c>
      <c r="C6" s="28"/>
      <c r="D6" s="28"/>
      <c r="E6" s="28"/>
      <c r="F6" s="28"/>
      <c r="G6" s="28"/>
      <c r="H6" s="34" t="s">
        <v>235</v>
      </c>
    </row>
    <row r="7" customFormat="false" ht="31.5" hidden="false" customHeight="true" outlineLevel="0" collapsed="false">
      <c r="A7" s="14" t="s">
        <v>236</v>
      </c>
      <c r="B7" s="33" t="n">
        <f aca="false">COUNTIF('Cryptographic Census'!$G$5:$G$49,"Unknown")+COUNTIF('Cryptographic Census'!$G$5:$G$49,"Proprietary or vendor undisclosed")</f>
        <v>0</v>
      </c>
      <c r="C7" s="28"/>
      <c r="D7" s="28"/>
      <c r="E7" s="28"/>
      <c r="F7" s="28"/>
      <c r="G7" s="28"/>
      <c r="H7" s="34" t="s">
        <v>237</v>
      </c>
    </row>
    <row r="8" customFormat="false" ht="31.5" hidden="false" customHeight="true" outlineLevel="0" collapsed="false">
      <c r="A8" s="14" t="s">
        <v>238</v>
      </c>
      <c r="B8" s="33" t="n">
        <f aca="false">COUNTIF('Cryptographic Census'!$R$5:$R$49,"EXPOSED")</f>
        <v>1</v>
      </c>
      <c r="C8" s="28"/>
      <c r="D8" s="28"/>
      <c r="E8" s="28"/>
      <c r="F8" s="28"/>
      <c r="G8" s="28"/>
      <c r="H8" s="34" t="s">
        <v>239</v>
      </c>
    </row>
    <row r="9" customFormat="false" ht="31.5" hidden="false" customHeight="true" outlineLevel="0" collapsed="false">
      <c r="A9" s="14" t="s">
        <v>240</v>
      </c>
      <c r="B9" s="33" t="n">
        <f aca="false">COUNTIF('Cryptographic Census'!$K$5:$K$49,"Hardware replacement required")</f>
        <v>0</v>
      </c>
      <c r="C9" s="28"/>
      <c r="D9" s="28"/>
      <c r="E9" s="28"/>
      <c r="F9" s="28"/>
      <c r="G9" s="28"/>
      <c r="H9" s="34" t="s">
        <v>241</v>
      </c>
    </row>
    <row r="10" customFormat="false" ht="31.5" hidden="false" customHeight="true" outlineLevel="0" collapsed="false">
      <c r="A10" s="14" t="s">
        <v>242</v>
      </c>
      <c r="B10" s="33" t="n">
        <f aca="false">COUNTIF('Cryptographic Census'!$L$5:$L$49,"No response received")+COUNTIF('Cryptographic Census'!$L$5:$L$49,"Roadmap with no date")+COUNTIF('Cryptographic Census'!$L$5:$L$49,"Unknown")</f>
        <v>1</v>
      </c>
      <c r="C10" s="28"/>
      <c r="D10" s="28"/>
      <c r="E10" s="28"/>
      <c r="F10" s="28"/>
      <c r="G10" s="28"/>
      <c r="H10" s="34" t="s">
        <v>243</v>
      </c>
    </row>
    <row r="11" customFormat="false" ht="31.5" hidden="false" customHeight="true" outlineLevel="0" collapsed="false">
      <c r="A11" s="14" t="s">
        <v>244</v>
      </c>
      <c r="B11" s="33" t="n">
        <f aca="false">COUNTA('Cryptographic Census'!$M$5:$M$49)-COUNTIF('Cryptographic Census'!$M$5:$M$49,"None identified")</f>
        <v>1</v>
      </c>
      <c r="C11" s="28"/>
      <c r="D11" s="28"/>
      <c r="E11" s="28"/>
      <c r="F11" s="28"/>
      <c r="G11" s="28"/>
      <c r="H11" s="34" t="s">
        <v>245</v>
      </c>
    </row>
    <row r="12" customFormat="false" ht="31.5" hidden="false" customHeight="true" outlineLevel="0" collapsed="false">
      <c r="A12" s="14" t="s">
        <v>246</v>
      </c>
      <c r="B12" s="33" t="n">
        <f aca="false">SUMPRODUCT(('Cryptographic Census'!$B$5:$B$49&lt;&gt;"")*('Cryptographic Census'!$C$5:$C$49=""))</f>
        <v>0</v>
      </c>
      <c r="C12" s="28"/>
      <c r="D12" s="28"/>
      <c r="E12" s="28"/>
      <c r="F12" s="28"/>
      <c r="G12" s="28"/>
      <c r="H12" s="34" t="s">
        <v>247</v>
      </c>
    </row>
    <row r="13" customFormat="false" ht="31.5" hidden="false" customHeight="true" outlineLevel="0" collapsed="false">
      <c r="A13" s="14" t="s">
        <v>248</v>
      </c>
      <c r="B13" s="33" t="n">
        <f aca="false">IFERROR(MAX('Cryptographic Census'!$S$5:$S$49),"")</f>
        <v>22</v>
      </c>
      <c r="C13" s="28"/>
      <c r="D13" s="28"/>
      <c r="E13" s="28"/>
      <c r="F13" s="28"/>
      <c r="G13" s="28"/>
      <c r="H13" s="34" t="s">
        <v>249</v>
      </c>
    </row>
    <row r="15" customFormat="false" ht="21.75" hidden="false" customHeight="true" outlineLevel="0" collapsed="false">
      <c r="A15" s="4" t="s">
        <v>250</v>
      </c>
      <c r="B15" s="4"/>
      <c r="C15" s="4"/>
      <c r="D15" s="4"/>
      <c r="E15" s="4"/>
      <c r="F15" s="4"/>
      <c r="G15" s="4"/>
      <c r="H15" s="4"/>
    </row>
    <row r="16" customFormat="false" ht="25.5" hidden="false" customHeight="true" outlineLevel="0" collapsed="false">
      <c r="A16" s="18" t="s">
        <v>192</v>
      </c>
      <c r="B16" s="18" t="s">
        <v>251</v>
      </c>
      <c r="C16" s="18" t="s">
        <v>252</v>
      </c>
      <c r="D16" s="18" t="s">
        <v>253</v>
      </c>
      <c r="E16" s="18"/>
      <c r="F16" s="18"/>
      <c r="G16" s="18"/>
      <c r="H16" s="18" t="s">
        <v>254</v>
      </c>
    </row>
    <row r="17" customFormat="false" ht="30" hidden="false" customHeight="true" outlineLevel="0" collapsed="false">
      <c r="A17" s="14" t="s">
        <v>176</v>
      </c>
      <c r="B17" s="35" t="n">
        <f aca="false">COUNTIF('Cryptographic Census'!$T$5:$T$49,"Wave 1: 2026 to 2027")</f>
        <v>1</v>
      </c>
      <c r="C17" s="36" t="n">
        <f aca="false">IFERROR(B17/COUNTA('Cryptographic Census'!$B$5:$B$49),"")</f>
        <v>1</v>
      </c>
      <c r="D17" s="35" t="n">
        <f aca="false">COUNTIFS('Cryptographic Census'!$T$5:$T$49,"Wave 1: 2026 to 2027",'Cryptographic Census'!$R$5:$R$49,"EXPOSED")</f>
        <v>1</v>
      </c>
      <c r="E17" s="28"/>
      <c r="F17" s="28"/>
      <c r="G17" s="28"/>
      <c r="H17" s="34" t="s">
        <v>255</v>
      </c>
    </row>
    <row r="18" customFormat="false" ht="30" hidden="false" customHeight="true" outlineLevel="0" collapsed="false">
      <c r="A18" s="14" t="s">
        <v>174</v>
      </c>
      <c r="B18" s="35" t="n">
        <f aca="false">COUNTIF('Cryptographic Census'!$T$5:$T$49,"Wave 2: 2027 to 2029")</f>
        <v>0</v>
      </c>
      <c r="C18" s="36" t="n">
        <f aca="false">IFERROR(B18/COUNTA('Cryptographic Census'!$B$5:$B$49),"")</f>
        <v>0</v>
      </c>
      <c r="D18" s="35" t="n">
        <f aca="false">COUNTIFS('Cryptographic Census'!$T$5:$T$49,"Wave 2: 2027 to 2029",'Cryptographic Census'!$R$5:$R$49,"EXPOSED")</f>
        <v>0</v>
      </c>
      <c r="E18" s="28"/>
      <c r="F18" s="28"/>
      <c r="G18" s="28"/>
      <c r="H18" s="34" t="s">
        <v>256</v>
      </c>
    </row>
    <row r="19" customFormat="false" ht="30" hidden="false" customHeight="true" outlineLevel="0" collapsed="false">
      <c r="A19" s="14" t="s">
        <v>172</v>
      </c>
      <c r="B19" s="35" t="n">
        <f aca="false">COUNTIF('Cryptographic Census'!$T$5:$T$49,"Wave 3: 2029 to 2031")</f>
        <v>0</v>
      </c>
      <c r="C19" s="36" t="n">
        <f aca="false">IFERROR(B19/COUNTA('Cryptographic Census'!$B$5:$B$49),"")</f>
        <v>0</v>
      </c>
      <c r="D19" s="35" t="n">
        <f aca="false">COUNTIFS('Cryptographic Census'!$T$5:$T$49,"Wave 3: 2029 to 2031",'Cryptographic Census'!$R$5:$R$49,"EXPOSED")</f>
        <v>0</v>
      </c>
      <c r="E19" s="28"/>
      <c r="F19" s="28"/>
      <c r="G19" s="28"/>
      <c r="H19" s="34" t="s">
        <v>257</v>
      </c>
    </row>
    <row r="20" customFormat="false" ht="30" hidden="false" customHeight="true" outlineLevel="0" collapsed="false">
      <c r="A20" s="14" t="s">
        <v>170</v>
      </c>
      <c r="B20" s="35" t="n">
        <f aca="false">COUNTIF('Cryptographic Census'!$T$5:$T$49,"Wave 4: by 2033")</f>
        <v>0</v>
      </c>
      <c r="C20" s="36" t="n">
        <f aca="false">IFERROR(B20/COUNTA('Cryptographic Census'!$B$5:$B$49),"")</f>
        <v>0</v>
      </c>
      <c r="D20" s="35" t="n">
        <f aca="false">COUNTIFS('Cryptographic Census'!$T$5:$T$49,"Wave 4: by 2033",'Cryptographic Census'!$R$5:$R$49,"EXPOSED")</f>
        <v>0</v>
      </c>
      <c r="E20" s="28"/>
      <c r="F20" s="28"/>
      <c r="G20" s="28"/>
      <c r="H20" s="34" t="s">
        <v>258</v>
      </c>
    </row>
    <row r="23" customFormat="false" ht="21.75" hidden="false" customHeight="true" outlineLevel="0" collapsed="false">
      <c r="A23" s="4" t="s">
        <v>259</v>
      </c>
      <c r="B23" s="4"/>
      <c r="C23" s="4"/>
      <c r="D23" s="4"/>
      <c r="E23" s="4"/>
      <c r="F23" s="4"/>
      <c r="G23" s="4"/>
      <c r="H23" s="4"/>
    </row>
    <row r="24" customFormat="false" ht="21.75" hidden="false" customHeight="true" outlineLevel="0" collapsed="false">
      <c r="A24" s="37" t="s">
        <v>184</v>
      </c>
      <c r="B24" s="37" t="s">
        <v>260</v>
      </c>
      <c r="C24" s="37" t="s">
        <v>261</v>
      </c>
      <c r="D24" s="37"/>
      <c r="E24" s="37"/>
      <c r="F24" s="37"/>
      <c r="G24" s="37"/>
      <c r="H24" s="37"/>
    </row>
    <row r="25" customFormat="false" ht="15" hidden="false" customHeight="true" outlineLevel="0" collapsed="false">
      <c r="A25" s="14" t="s">
        <v>198</v>
      </c>
      <c r="B25" s="35" t="n">
        <f aca="false">COUNTIF('Cryptographic Census'!$E$5:$E$49,"Public TLS endpoint")</f>
        <v>1</v>
      </c>
      <c r="C25" s="35" t="n">
        <f aca="false">COUNTIFS('Cryptographic Census'!$E$5:$E$49,"Public TLS endpoint",'Cryptographic Census'!$R$5:$R$49,"EXPOSED")</f>
        <v>1</v>
      </c>
      <c r="D25" s="28"/>
      <c r="E25" s="28"/>
      <c r="F25" s="28"/>
      <c r="G25" s="28"/>
      <c r="H25" s="28"/>
    </row>
    <row r="26" customFormat="false" ht="15" hidden="false" customHeight="true" outlineLevel="0" collapsed="false">
      <c r="A26" s="14" t="s">
        <v>262</v>
      </c>
      <c r="B26" s="35" t="n">
        <f aca="false">COUNTIF('Cryptographic Census'!$E$5:$E$49,"Internal TLS service")</f>
        <v>0</v>
      </c>
      <c r="C26" s="35" t="n">
        <f aca="false">COUNTIFS('Cryptographic Census'!$E$5:$E$49,"Internal TLS service",'Cryptographic Census'!$R$5:$R$49,"EXPOSED")</f>
        <v>0</v>
      </c>
      <c r="D26" s="28"/>
      <c r="E26" s="28"/>
      <c r="F26" s="28"/>
      <c r="G26" s="28"/>
      <c r="H26" s="28"/>
    </row>
    <row r="27" customFormat="false" ht="15" hidden="false" customHeight="true" outlineLevel="0" collapsed="false">
      <c r="A27" s="14" t="s">
        <v>263</v>
      </c>
      <c r="B27" s="35" t="n">
        <f aca="false">COUNTIF('Cryptographic Census'!$E$5:$E$49,"VPN or tunnel")</f>
        <v>0</v>
      </c>
      <c r="C27" s="35" t="n">
        <f aca="false">COUNTIFS('Cryptographic Census'!$E$5:$E$49,"VPN or tunnel",'Cryptographic Census'!$R$5:$R$49,"EXPOSED")</f>
        <v>0</v>
      </c>
      <c r="D27" s="28"/>
      <c r="E27" s="28"/>
      <c r="F27" s="28"/>
      <c r="G27" s="28"/>
      <c r="H27" s="28"/>
    </row>
    <row r="28" customFormat="false" ht="15" hidden="false" customHeight="true" outlineLevel="0" collapsed="false">
      <c r="A28" s="14" t="s">
        <v>264</v>
      </c>
      <c r="B28" s="35" t="n">
        <f aca="false">COUNTIF('Cryptographic Census'!$E$5:$E$49,"Code or artefact signing")</f>
        <v>0</v>
      </c>
      <c r="C28" s="35" t="n">
        <f aca="false">COUNTIFS('Cryptographic Census'!$E$5:$E$49,"Code or artefact signing",'Cryptographic Census'!$R$5:$R$49,"EXPOSED")</f>
        <v>0</v>
      </c>
      <c r="D28" s="28"/>
      <c r="E28" s="28"/>
      <c r="F28" s="28"/>
      <c r="G28" s="28"/>
      <c r="H28" s="28"/>
    </row>
    <row r="29" customFormat="false" ht="15" hidden="false" customHeight="true" outlineLevel="0" collapsed="false">
      <c r="A29" s="14" t="s">
        <v>265</v>
      </c>
      <c r="B29" s="35" t="n">
        <f aca="false">COUNTIF('Cryptographic Census'!$E$5:$E$49,"Firmware signing")</f>
        <v>0</v>
      </c>
      <c r="C29" s="35" t="n">
        <f aca="false">COUNTIFS('Cryptographic Census'!$E$5:$E$49,"Firmware signing",'Cryptographic Census'!$R$5:$R$49,"EXPOSED")</f>
        <v>0</v>
      </c>
      <c r="D29" s="28"/>
      <c r="E29" s="28"/>
      <c r="F29" s="28"/>
      <c r="G29" s="28"/>
      <c r="H29" s="28"/>
    </row>
    <row r="30" customFormat="false" ht="15" hidden="false" customHeight="true" outlineLevel="0" collapsed="false">
      <c r="A30" s="14" t="s">
        <v>266</v>
      </c>
      <c r="B30" s="35" t="n">
        <f aca="false">COUNTIF('Cryptographic Census'!$E$5:$E$49,"Public key infrastructure or CA")</f>
        <v>0</v>
      </c>
      <c r="C30" s="35" t="n">
        <f aca="false">COUNTIFS('Cryptographic Census'!$E$5:$E$49,"Public key infrastructure or CA",'Cryptographic Census'!$R$5:$R$49,"EXPOSED")</f>
        <v>0</v>
      </c>
      <c r="D30" s="28"/>
      <c r="E30" s="28"/>
      <c r="F30" s="28"/>
      <c r="G30" s="28"/>
      <c r="H30" s="28"/>
    </row>
    <row r="31" customFormat="false" ht="15" hidden="false" customHeight="true" outlineLevel="0" collapsed="false">
      <c r="A31" s="14" t="s">
        <v>267</v>
      </c>
      <c r="B31" s="35" t="n">
        <f aca="false">COUNTIF('Cryptographic Census'!$E$5:$E$49,"Hardware security module")</f>
        <v>0</v>
      </c>
      <c r="C31" s="35" t="n">
        <f aca="false">COUNTIFS('Cryptographic Census'!$E$5:$E$49,"Hardware security module",'Cryptographic Census'!$R$5:$R$49,"EXPOSED")</f>
        <v>0</v>
      </c>
      <c r="D31" s="28"/>
      <c r="E31" s="28"/>
      <c r="F31" s="28"/>
      <c r="G31" s="28"/>
      <c r="H31" s="28"/>
    </row>
    <row r="32" customFormat="false" ht="15" hidden="false" customHeight="true" outlineLevel="0" collapsed="false">
      <c r="A32" s="14" t="s">
        <v>268</v>
      </c>
      <c r="B32" s="35" t="n">
        <f aca="false">COUNTIF('Cryptographic Census'!$E$5:$E$49,"Database encryption at rest")</f>
        <v>0</v>
      </c>
      <c r="C32" s="35" t="n">
        <f aca="false">COUNTIFS('Cryptographic Census'!$E$5:$E$49,"Database encryption at rest",'Cryptographic Census'!$R$5:$R$49,"EXPOSED")</f>
        <v>0</v>
      </c>
      <c r="D32" s="28"/>
      <c r="E32" s="28"/>
      <c r="F32" s="28"/>
      <c r="G32" s="28"/>
      <c r="H32" s="28"/>
    </row>
    <row r="33" customFormat="false" ht="15" hidden="false" customHeight="true" outlineLevel="0" collapsed="false">
      <c r="A33" s="14" t="s">
        <v>269</v>
      </c>
      <c r="B33" s="35" t="n">
        <f aca="false">COUNTIF('Cryptographic Census'!$E$5:$E$49,"Backup and archive")</f>
        <v>0</v>
      </c>
      <c r="C33" s="35" t="n">
        <f aca="false">COUNTIFS('Cryptographic Census'!$E$5:$E$49,"Backup and archive",'Cryptographic Census'!$R$5:$R$49,"EXPOSED")</f>
        <v>0</v>
      </c>
      <c r="D33" s="28"/>
      <c r="E33" s="28"/>
      <c r="F33" s="28"/>
      <c r="G33" s="28"/>
      <c r="H33" s="28"/>
    </row>
    <row r="34" customFormat="false" ht="15" hidden="false" customHeight="true" outlineLevel="0" collapsed="false">
      <c r="A34" s="14" t="s">
        <v>270</v>
      </c>
      <c r="B34" s="35" t="n">
        <f aca="false">COUNTIF('Cryptographic Census'!$E$5:$E$49,"Operational technology or embedded device")</f>
        <v>0</v>
      </c>
      <c r="C34" s="35" t="n">
        <f aca="false">COUNTIFS('Cryptographic Census'!$E$5:$E$49,"Operational technology or embedded device",'Cryptographic Census'!$R$5:$R$49,"EXPOSED")</f>
        <v>0</v>
      </c>
      <c r="D34" s="28"/>
      <c r="E34" s="28"/>
      <c r="F34" s="28"/>
      <c r="G34" s="28"/>
      <c r="H34" s="28"/>
    </row>
    <row r="35" customFormat="false" ht="15" hidden="false" customHeight="true" outlineLevel="0" collapsed="false">
      <c r="A35" s="14" t="s">
        <v>271</v>
      </c>
      <c r="B35" s="35" t="n">
        <f aca="false">COUNTIF('Cryptographic Census'!$E$5:$E$49,"Third party API integration")</f>
        <v>0</v>
      </c>
      <c r="C35" s="35" t="n">
        <f aca="false">COUNTIFS('Cryptographic Census'!$E$5:$E$49,"Third party API integration",'Cryptographic Census'!$R$5:$R$49,"EXPOSED")</f>
        <v>0</v>
      </c>
      <c r="D35" s="28"/>
      <c r="E35" s="28"/>
      <c r="F35" s="28"/>
      <c r="G35" s="28"/>
      <c r="H35" s="28"/>
    </row>
    <row r="38" customFormat="false" ht="15" hidden="false" customHeight="true" outlineLevel="0" collapsed="false">
      <c r="A38" s="11" t="s">
        <v>28</v>
      </c>
      <c r="B38" s="11"/>
      <c r="C38" s="11"/>
      <c r="D38" s="11"/>
      <c r="E38" s="11"/>
      <c r="F38" s="11"/>
      <c r="G38" s="11"/>
      <c r="H38" s="11"/>
    </row>
    <row r="39" customFormat="false" ht="15" hidden="false" customHeight="true" outlineLevel="0" collapsed="false">
      <c r="A39" s="11"/>
      <c r="B39" s="11"/>
      <c r="C39" s="11"/>
      <c r="D39" s="11"/>
      <c r="E39" s="11"/>
      <c r="F39" s="11"/>
      <c r="G39" s="11"/>
      <c r="H39" s="11"/>
    </row>
  </sheetData>
  <mergeCells count="18">
    <mergeCell ref="A1:H1"/>
    <mergeCell ref="A2:H2"/>
    <mergeCell ref="A4:H4"/>
    <mergeCell ref="C6:G6"/>
    <mergeCell ref="C7:G7"/>
    <mergeCell ref="C8:G8"/>
    <mergeCell ref="C9:G9"/>
    <mergeCell ref="C10:G10"/>
    <mergeCell ref="C11:G11"/>
    <mergeCell ref="C12:G12"/>
    <mergeCell ref="C13:G13"/>
    <mergeCell ref="A15:H15"/>
    <mergeCell ref="E17:G17"/>
    <mergeCell ref="E18:G18"/>
    <mergeCell ref="E19:G19"/>
    <mergeCell ref="E20:G20"/>
    <mergeCell ref="A23:H23"/>
    <mergeCell ref="A38:H39"/>
  </mergeCells>
  <printOptions headings="false" gridLines="false" gridLinesSet="true" horizontalCentered="true" verticalCentered="false"/>
  <pageMargins left="0.4" right="0.4" top="0.5" bottom="0.5" header="0.511811023622047" footer="0.25"/>
  <pageSetup paperSize="1" scale="100" fitToWidth="1" fitToHeight="0" pageOrder="downThenOver" orientation="landscape" blackAndWhite="false" draft="false" cellComments="none" horizontalDpi="300" verticalDpi="300" copies="1"/>
  <headerFooter differentFirst="false" differentOddEven="false">
    <oddHeader/>
    <oddFooter>&amp;L&amp;8 &amp;K808080When Agents Rule companion toolkit&amp;R&amp;8 &amp;K808080&amp;A  |  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2026-09-12T21:00:51Z</dcterms:created>
  <dc:creator>openpyxl</dc:creator>
  <dc:description/>
  <dc:language>en-US</dc:language>
  <cp:lastModifiedBy/>
  <dcterms:modified xsi:type="dcterms:W3CDTF">2026-09-13T11:50:11Z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